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Value Spreadsheets\"/>
    </mc:Choice>
  </mc:AlternateContent>
  <xr:revisionPtr revIDLastSave="0" documentId="13_ncr:1_{0BEFB2E7-90F8-4BA6-A2CE-92DBBCB299DF}" xr6:coauthVersionLast="47" xr6:coauthVersionMax="47" xr10:uidLastSave="{00000000-0000-0000-0000-000000000000}"/>
  <bookViews>
    <workbookView xWindow="-120" yWindow="-120" windowWidth="38640" windowHeight="21120" tabRatio="686" activeTab="10" xr2:uid="{00000000-000D-0000-FFFF-FFFF00000000}"/>
  </bookViews>
  <sheets>
    <sheet name="BSC LSD" sheetId="8" r:id="rId1"/>
    <sheet name="Danbury LSD" sheetId="9" r:id="rId2"/>
    <sheet name="Genoa LSD" sheetId="10" r:id="rId3"/>
    <sheet name="Lake LSD" sheetId="11" r:id="rId4"/>
    <sheet name="MBS LSD" sheetId="12" r:id="rId5"/>
    <sheet name="N Bass LSD" sheetId="13" r:id="rId6"/>
    <sheet name="PC CSD" sheetId="14" r:id="rId7"/>
    <sheet name="PIB LSD" sheetId="15" r:id="rId8"/>
    <sheet name="Woodmore LSD" sheetId="16" r:id="rId9"/>
    <sheet name="Penta JVS" sheetId="17" r:id="rId10"/>
    <sheet name="Vanguard JVS" sheetId="18" r:id="rId11"/>
    <sheet name="New Construction" sheetId="1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7" l="1"/>
  <c r="I8" i="17"/>
  <c r="C41" i="8"/>
  <c r="C45" i="8" l="1"/>
  <c r="C47" i="8"/>
  <c r="C48" i="8"/>
  <c r="B42" i="8"/>
  <c r="B43" i="8"/>
  <c r="B44" i="8"/>
  <c r="B45" i="8"/>
  <c r="B47" i="8"/>
  <c r="B41" i="8"/>
  <c r="A45" i="8"/>
  <c r="A47" i="8"/>
  <c r="A48" i="8"/>
  <c r="E8" i="8" l="1"/>
  <c r="D8" i="8"/>
  <c r="C8" i="8"/>
  <c r="A8" i="8"/>
  <c r="A32" i="15"/>
  <c r="B32" i="15"/>
  <c r="C32" i="15"/>
  <c r="B36" i="15"/>
  <c r="C36" i="15"/>
  <c r="E8" i="15" l="1"/>
  <c r="D8" i="15"/>
  <c r="D8" i="16"/>
  <c r="F8" i="18" l="1"/>
  <c r="G8" i="18"/>
  <c r="B8" i="17"/>
  <c r="C11" i="19" l="1"/>
  <c r="B11" i="19"/>
  <c r="C10" i="19"/>
  <c r="B10" i="19"/>
  <c r="C9" i="19"/>
  <c r="B9" i="19"/>
  <c r="C5" i="19"/>
  <c r="B5" i="19"/>
  <c r="C4" i="19"/>
  <c r="B4" i="19"/>
  <c r="B3" i="19"/>
  <c r="B12" i="19" s="1"/>
  <c r="C3" i="19"/>
  <c r="C12" i="19" s="1"/>
  <c r="A8" i="15"/>
  <c r="C8" i="9" l="1"/>
  <c r="D8" i="17" l="1"/>
  <c r="C8" i="17"/>
  <c r="J8" i="17" s="1"/>
  <c r="K8" i="18" l="1"/>
  <c r="E8" i="18"/>
  <c r="D8" i="18"/>
  <c r="C8" i="18"/>
  <c r="A8" i="18"/>
  <c r="J8" i="18" l="1"/>
  <c r="I8" i="18"/>
  <c r="D60" i="10" l="1"/>
  <c r="B43" i="14" l="1"/>
  <c r="B44" i="14"/>
  <c r="B45" i="14"/>
  <c r="B46" i="14"/>
  <c r="B48" i="14"/>
  <c r="B50" i="14"/>
  <c r="B52" i="14"/>
  <c r="A52" i="14"/>
  <c r="A27" i="8"/>
  <c r="D62" i="10" l="1"/>
  <c r="B62" i="10"/>
  <c r="C62" i="10"/>
  <c r="A62" i="10"/>
  <c r="C34" i="10"/>
  <c r="B34" i="10"/>
  <c r="A34" i="10"/>
  <c r="A36" i="10" s="1"/>
  <c r="E10" i="16"/>
  <c r="D9" i="15"/>
  <c r="E9" i="14"/>
  <c r="J8" i="9"/>
  <c r="J9" i="9" s="1"/>
  <c r="A9" i="9"/>
  <c r="B53" i="11"/>
  <c r="C53" i="11"/>
  <c r="D53" i="11"/>
  <c r="A53" i="11"/>
  <c r="C30" i="11"/>
  <c r="B30" i="11"/>
  <c r="A30" i="11"/>
  <c r="C55" i="10"/>
  <c r="D10" i="16"/>
  <c r="A10" i="16"/>
  <c r="A9" i="15"/>
  <c r="L8" i="17"/>
  <c r="L8" i="18"/>
  <c r="C9" i="14"/>
  <c r="B18" i="12"/>
  <c r="A53" i="10"/>
  <c r="A54" i="10"/>
  <c r="A55" i="10"/>
  <c r="A56" i="10"/>
  <c r="A57" i="10"/>
  <c r="A58" i="10"/>
  <c r="A59" i="10"/>
  <c r="A61" i="10"/>
  <c r="C58" i="10"/>
  <c r="B58" i="10"/>
  <c r="D9" i="8"/>
  <c r="B5" i="9"/>
  <c r="B5" i="11" s="1"/>
  <c r="F3" i="9"/>
  <c r="F3" i="15" s="1"/>
  <c r="H3" i="9"/>
  <c r="H3" i="16" s="1"/>
  <c r="M10" i="16"/>
  <c r="M9" i="15"/>
  <c r="M9" i="14"/>
  <c r="M9" i="13"/>
  <c r="M9" i="12"/>
  <c r="B44" i="11"/>
  <c r="C44" i="11"/>
  <c r="B45" i="11"/>
  <c r="C45" i="11"/>
  <c r="B46" i="11"/>
  <c r="C46" i="11"/>
  <c r="B47" i="11"/>
  <c r="C47" i="11"/>
  <c r="C43" i="11"/>
  <c r="B43" i="11"/>
  <c r="C59" i="10"/>
  <c r="B59" i="10"/>
  <c r="C57" i="10"/>
  <c r="C56" i="10"/>
  <c r="B55" i="10"/>
  <c r="B56" i="10"/>
  <c r="B57" i="10"/>
  <c r="C54" i="10"/>
  <c r="B54" i="10"/>
  <c r="B61" i="10"/>
  <c r="C61" i="10"/>
  <c r="M9" i="10"/>
  <c r="M9" i="9"/>
  <c r="M9" i="8"/>
  <c r="E9" i="13"/>
  <c r="C27" i="8"/>
  <c r="B27" i="8"/>
  <c r="C9" i="8"/>
  <c r="A9" i="14"/>
  <c r="D9" i="14"/>
  <c r="G9" i="14"/>
  <c r="A48" i="16"/>
  <c r="B48" i="16"/>
  <c r="C33" i="18"/>
  <c r="C34" i="18" s="1"/>
  <c r="B33" i="18"/>
  <c r="B34" i="18" s="1"/>
  <c r="B36" i="18" s="1"/>
  <c r="A33" i="18"/>
  <c r="A34" i="18" s="1"/>
  <c r="A36" i="18" s="1"/>
  <c r="C30" i="18"/>
  <c r="B30" i="18"/>
  <c r="A31" i="18"/>
  <c r="C20" i="18"/>
  <c r="B20" i="18"/>
  <c r="A20" i="18"/>
  <c r="C17" i="18"/>
  <c r="C22" i="18" s="1"/>
  <c r="B17" i="18"/>
  <c r="A17" i="18"/>
  <c r="H10" i="18"/>
  <c r="G10" i="18"/>
  <c r="F10" i="18"/>
  <c r="E10" i="18"/>
  <c r="D10" i="18"/>
  <c r="C10" i="18"/>
  <c r="B10" i="18"/>
  <c r="A10" i="18"/>
  <c r="K9" i="18"/>
  <c r="J9" i="18"/>
  <c r="I9" i="18"/>
  <c r="I10" i="18" s="1"/>
  <c r="I33" i="18" s="1"/>
  <c r="I34" i="18" s="1"/>
  <c r="C41" i="17"/>
  <c r="B41" i="17"/>
  <c r="A41" i="17"/>
  <c r="C40" i="17"/>
  <c r="B40" i="17"/>
  <c r="A40" i="17"/>
  <c r="C39" i="17"/>
  <c r="B39" i="17"/>
  <c r="A39" i="17"/>
  <c r="C38" i="17"/>
  <c r="B38" i="17"/>
  <c r="A38" i="17"/>
  <c r="A42" i="17" s="1"/>
  <c r="C37" i="17"/>
  <c r="B37" i="17"/>
  <c r="A37" i="17"/>
  <c r="C34" i="17"/>
  <c r="C35" i="17" s="1"/>
  <c r="B34" i="17"/>
  <c r="A34" i="17"/>
  <c r="A35" i="17" s="1"/>
  <c r="C24" i="17"/>
  <c r="C26" i="17" s="1"/>
  <c r="B24" i="17"/>
  <c r="A24" i="17"/>
  <c r="C17" i="17"/>
  <c r="B17" i="17"/>
  <c r="A17" i="17"/>
  <c r="H10" i="17"/>
  <c r="G10" i="17"/>
  <c r="F10" i="17"/>
  <c r="E10" i="17"/>
  <c r="D10" i="17"/>
  <c r="C10" i="17"/>
  <c r="B10" i="17"/>
  <c r="A10" i="17"/>
  <c r="J10" i="17"/>
  <c r="C49" i="16"/>
  <c r="B49" i="16"/>
  <c r="A49" i="16"/>
  <c r="C48" i="16"/>
  <c r="C47" i="16"/>
  <c r="B47" i="16"/>
  <c r="A47" i="16"/>
  <c r="C46" i="16"/>
  <c r="B46" i="16"/>
  <c r="A46" i="16"/>
  <c r="C45" i="16"/>
  <c r="B45" i="16"/>
  <c r="A45" i="16"/>
  <c r="C44" i="16"/>
  <c r="B44" i="16"/>
  <c r="A44" i="16"/>
  <c r="C43" i="16"/>
  <c r="B43" i="16"/>
  <c r="A43" i="16"/>
  <c r="C42" i="16"/>
  <c r="B42" i="16"/>
  <c r="A42" i="16"/>
  <c r="C41" i="16"/>
  <c r="B41" i="16"/>
  <c r="A41" i="16"/>
  <c r="C38" i="16"/>
  <c r="C39" i="16" s="1"/>
  <c r="B38" i="16"/>
  <c r="B39" i="16"/>
  <c r="A38" i="16"/>
  <c r="A39" i="16" s="1"/>
  <c r="C28" i="16"/>
  <c r="B28" i="16"/>
  <c r="A28" i="16"/>
  <c r="C17" i="16"/>
  <c r="B17" i="16"/>
  <c r="A17" i="16"/>
  <c r="H10" i="16"/>
  <c r="G10" i="16"/>
  <c r="F10" i="16"/>
  <c r="C10" i="16"/>
  <c r="B10" i="16"/>
  <c r="K9" i="16"/>
  <c r="J9" i="16"/>
  <c r="I9" i="16"/>
  <c r="K8" i="16"/>
  <c r="A36" i="15"/>
  <c r="C35" i="15"/>
  <c r="B35" i="15"/>
  <c r="A35" i="15"/>
  <c r="C31" i="15"/>
  <c r="C33" i="15" s="1"/>
  <c r="B31" i="15"/>
  <c r="A31" i="15"/>
  <c r="C21" i="15"/>
  <c r="B21" i="15"/>
  <c r="A21" i="15"/>
  <c r="C17" i="15"/>
  <c r="B17" i="15"/>
  <c r="A17" i="15"/>
  <c r="H9" i="15"/>
  <c r="G9" i="15"/>
  <c r="F9" i="15"/>
  <c r="E9" i="15"/>
  <c r="C9" i="15"/>
  <c r="B9" i="15"/>
  <c r="K8" i="15"/>
  <c r="K9" i="15" s="1"/>
  <c r="J8" i="15"/>
  <c r="J9" i="15" s="1"/>
  <c r="C52" i="14"/>
  <c r="C50" i="14"/>
  <c r="A50" i="14"/>
  <c r="C49" i="14"/>
  <c r="B49" i="14"/>
  <c r="A49" i="14"/>
  <c r="C48" i="14"/>
  <c r="A48" i="14"/>
  <c r="C47" i="14"/>
  <c r="B47" i="14"/>
  <c r="A47" i="14"/>
  <c r="C46" i="14"/>
  <c r="A46" i="14"/>
  <c r="C45" i="14"/>
  <c r="A45" i="14"/>
  <c r="C44" i="14"/>
  <c r="A44" i="14"/>
  <c r="C43" i="14"/>
  <c r="A43" i="14"/>
  <c r="A53" i="14" s="1"/>
  <c r="C40" i="14"/>
  <c r="C41" i="14" s="1"/>
  <c r="B40" i="14"/>
  <c r="A40" i="14"/>
  <c r="C39" i="14"/>
  <c r="B39" i="14"/>
  <c r="B41" i="14" s="1"/>
  <c r="A39" i="14"/>
  <c r="A41" i="14" s="1"/>
  <c r="C29" i="14"/>
  <c r="C31" i="14" s="1"/>
  <c r="B29" i="14"/>
  <c r="B31" i="14" s="1"/>
  <c r="A29" i="14"/>
  <c r="A31" i="14" s="1"/>
  <c r="C17" i="14"/>
  <c r="B17" i="14"/>
  <c r="A17" i="14"/>
  <c r="H9" i="14"/>
  <c r="F9" i="14"/>
  <c r="B9" i="14"/>
  <c r="K8" i="14"/>
  <c r="K9" i="14" s="1"/>
  <c r="C32" i="13"/>
  <c r="C33" i="13" s="1"/>
  <c r="C35" i="13" s="1"/>
  <c r="B32" i="13"/>
  <c r="B33" i="13" s="1"/>
  <c r="A32" i="13"/>
  <c r="C29" i="13"/>
  <c r="C30" i="13"/>
  <c r="B29" i="13"/>
  <c r="B30" i="13" s="1"/>
  <c r="A29" i="13"/>
  <c r="C19" i="13"/>
  <c r="B19" i="13"/>
  <c r="A19" i="13"/>
  <c r="C16" i="13"/>
  <c r="B16" i="13"/>
  <c r="A16" i="13"/>
  <c r="A21" i="13" s="1"/>
  <c r="H9" i="13"/>
  <c r="G9" i="13"/>
  <c r="F9" i="13"/>
  <c r="D9" i="13"/>
  <c r="C9" i="13"/>
  <c r="B9" i="13"/>
  <c r="A9" i="13"/>
  <c r="K8" i="13"/>
  <c r="K9" i="13" s="1"/>
  <c r="K29" i="13" s="1"/>
  <c r="J8" i="13"/>
  <c r="J9" i="13" s="1"/>
  <c r="I8" i="13"/>
  <c r="I9" i="13" s="1"/>
  <c r="C26" i="12"/>
  <c r="C27" i="12"/>
  <c r="C29" i="12" s="1"/>
  <c r="B26" i="12"/>
  <c r="B27" i="12" s="1"/>
  <c r="B29" i="12" s="1"/>
  <c r="A26" i="12"/>
  <c r="A27" i="12"/>
  <c r="A29" i="12"/>
  <c r="C16" i="12"/>
  <c r="C18" i="12" s="1"/>
  <c r="B16" i="12"/>
  <c r="A16" i="12"/>
  <c r="A18" i="12" s="1"/>
  <c r="H9" i="12"/>
  <c r="G9" i="12"/>
  <c r="F9" i="12"/>
  <c r="E9" i="12"/>
  <c r="D9" i="12"/>
  <c r="C9" i="12"/>
  <c r="B9" i="12"/>
  <c r="A9" i="12"/>
  <c r="K8" i="12"/>
  <c r="K9" i="12" s="1"/>
  <c r="K26" i="12" s="1"/>
  <c r="K27" i="12" s="1"/>
  <c r="K29" i="12" s="1"/>
  <c r="J8" i="12"/>
  <c r="J9" i="12" s="1"/>
  <c r="I8" i="12"/>
  <c r="I9" i="12" s="1"/>
  <c r="I26" i="12" s="1"/>
  <c r="I27" i="12" s="1"/>
  <c r="I29" i="12" s="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A47" i="11"/>
  <c r="A46" i="11"/>
  <c r="A45" i="11"/>
  <c r="C40" i="11"/>
  <c r="C41" i="11"/>
  <c r="B40" i="11"/>
  <c r="B41" i="11" s="1"/>
  <c r="A40" i="11"/>
  <c r="A41" i="11" s="1"/>
  <c r="C17" i="11"/>
  <c r="B17" i="11"/>
  <c r="A17" i="11"/>
  <c r="H10" i="11"/>
  <c r="G10" i="11"/>
  <c r="F10" i="11"/>
  <c r="E10" i="11"/>
  <c r="D10" i="11"/>
  <c r="C10" i="11"/>
  <c r="B10" i="11"/>
  <c r="A10" i="11"/>
  <c r="K9" i="11"/>
  <c r="J9" i="11"/>
  <c r="I9" i="11"/>
  <c r="K8" i="11"/>
  <c r="J8" i="11"/>
  <c r="I8" i="11"/>
  <c r="C53" i="10"/>
  <c r="B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4" i="10"/>
  <c r="C45" i="10" s="1"/>
  <c r="B44" i="10"/>
  <c r="A44" i="10"/>
  <c r="C16" i="10"/>
  <c r="B16" i="10"/>
  <c r="A16" i="10"/>
  <c r="H9" i="10"/>
  <c r="G9" i="10"/>
  <c r="F9" i="10"/>
  <c r="E9" i="10"/>
  <c r="D9" i="10"/>
  <c r="C9" i="10"/>
  <c r="B9" i="10"/>
  <c r="K8" i="10"/>
  <c r="K9" i="10" s="1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5" i="9"/>
  <c r="B35" i="9"/>
  <c r="A35" i="9"/>
  <c r="A36" i="9" s="1"/>
  <c r="C25" i="9"/>
  <c r="B25" i="9"/>
  <c r="A25" i="9"/>
  <c r="A27" i="9" s="1"/>
  <c r="C16" i="9"/>
  <c r="B16" i="9"/>
  <c r="A16" i="9"/>
  <c r="H9" i="9"/>
  <c r="G9" i="9"/>
  <c r="F9" i="9"/>
  <c r="E9" i="9"/>
  <c r="D9" i="9"/>
  <c r="B9" i="9"/>
  <c r="K8" i="9"/>
  <c r="K9" i="9" s="1"/>
  <c r="C44" i="8"/>
  <c r="C43" i="8"/>
  <c r="C42" i="8"/>
  <c r="C38" i="8"/>
  <c r="B38" i="8"/>
  <c r="C37" i="8"/>
  <c r="B37" i="8"/>
  <c r="A44" i="8"/>
  <c r="A43" i="8"/>
  <c r="A42" i="8"/>
  <c r="A41" i="8"/>
  <c r="A38" i="8"/>
  <c r="A39" i="8" s="1"/>
  <c r="A37" i="8"/>
  <c r="K8" i="8"/>
  <c r="K9" i="8" s="1"/>
  <c r="G9" i="8"/>
  <c r="B9" i="8"/>
  <c r="F9" i="8"/>
  <c r="H9" i="8"/>
  <c r="A17" i="8"/>
  <c r="B17" i="8"/>
  <c r="C17" i="8"/>
  <c r="A29" i="8"/>
  <c r="B39" i="8"/>
  <c r="B36" i="9"/>
  <c r="C36" i="9"/>
  <c r="B33" i="15"/>
  <c r="C21" i="13"/>
  <c r="B21" i="13"/>
  <c r="A30" i="13"/>
  <c r="A33" i="13"/>
  <c r="B45" i="10"/>
  <c r="A45" i="10"/>
  <c r="A35" i="13"/>
  <c r="B22" i="18"/>
  <c r="B31" i="18"/>
  <c r="C31" i="18"/>
  <c r="K10" i="18"/>
  <c r="L9" i="18"/>
  <c r="J10" i="18"/>
  <c r="A26" i="17"/>
  <c r="B35" i="17"/>
  <c r="L9" i="17"/>
  <c r="I10" i="17"/>
  <c r="I37" i="17" s="1"/>
  <c r="I8" i="9"/>
  <c r="I9" i="9" s="1"/>
  <c r="E9" i="8"/>
  <c r="J8" i="10"/>
  <c r="J9" i="10" s="1"/>
  <c r="C9" i="9"/>
  <c r="J8" i="8"/>
  <c r="J9" i="8" s="1"/>
  <c r="J8" i="14"/>
  <c r="J9" i="14" s="1"/>
  <c r="I8" i="14"/>
  <c r="I8" i="15"/>
  <c r="I9" i="15" s="1"/>
  <c r="I8" i="16"/>
  <c r="B53" i="14"/>
  <c r="J8" i="16"/>
  <c r="K10" i="11" l="1"/>
  <c r="K44" i="11" s="1"/>
  <c r="J59" i="10"/>
  <c r="K33" i="18"/>
  <c r="A63" i="10"/>
  <c r="A65" i="10" s="1"/>
  <c r="A44" i="17"/>
  <c r="B29" i="8"/>
  <c r="A33" i="15"/>
  <c r="A22" i="18"/>
  <c r="C36" i="18"/>
  <c r="B36" i="10"/>
  <c r="J10" i="11"/>
  <c r="J52" i="11" s="1"/>
  <c r="A37" i="15"/>
  <c r="A54" i="11"/>
  <c r="A56" i="11" s="1"/>
  <c r="A32" i="11"/>
  <c r="J39" i="9"/>
  <c r="C39" i="8"/>
  <c r="A45" i="9"/>
  <c r="A47" i="9" s="1"/>
  <c r="C30" i="16"/>
  <c r="A23" i="15"/>
  <c r="K10" i="17"/>
  <c r="K38" i="17" s="1"/>
  <c r="B23" i="15"/>
  <c r="J10" i="16"/>
  <c r="J42" i="16" s="1"/>
  <c r="I30" i="18"/>
  <c r="I31" i="18" s="1"/>
  <c r="I36" i="18" s="1"/>
  <c r="K48" i="10"/>
  <c r="K53" i="10"/>
  <c r="K61" i="10"/>
  <c r="K57" i="10"/>
  <c r="K52" i="10"/>
  <c r="K54" i="10"/>
  <c r="K56" i="10"/>
  <c r="K49" i="10"/>
  <c r="K59" i="10"/>
  <c r="K47" i="10"/>
  <c r="J39" i="17"/>
  <c r="C42" i="17"/>
  <c r="C44" i="17" s="1"/>
  <c r="B42" i="17"/>
  <c r="B44" i="17" s="1"/>
  <c r="A30" i="16"/>
  <c r="I36" i="15"/>
  <c r="B37" i="15"/>
  <c r="B39" i="15" s="1"/>
  <c r="L9" i="11"/>
  <c r="I40" i="17"/>
  <c r="I34" i="17"/>
  <c r="I35" i="17" s="1"/>
  <c r="I38" i="17"/>
  <c r="B5" i="10"/>
  <c r="B5" i="17"/>
  <c r="B5" i="12"/>
  <c r="B5" i="13"/>
  <c r="B5" i="16"/>
  <c r="B5" i="14"/>
  <c r="H3" i="17"/>
  <c r="H3" i="15"/>
  <c r="H3" i="12"/>
  <c r="H3" i="11"/>
  <c r="H3" i="10"/>
  <c r="H3" i="14"/>
  <c r="H3" i="18"/>
  <c r="H3" i="13"/>
  <c r="K48" i="11"/>
  <c r="K46" i="11"/>
  <c r="I29" i="13"/>
  <c r="I30" i="13" s="1"/>
  <c r="I32" i="13"/>
  <c r="I33" i="13" s="1"/>
  <c r="J48" i="11"/>
  <c r="J46" i="11"/>
  <c r="J45" i="11"/>
  <c r="J43" i="11"/>
  <c r="J32" i="13"/>
  <c r="J33" i="13" s="1"/>
  <c r="J29" i="13"/>
  <c r="J30" i="13" s="1"/>
  <c r="B35" i="13"/>
  <c r="K36" i="15"/>
  <c r="K31" i="15"/>
  <c r="K35" i="15"/>
  <c r="K32" i="15"/>
  <c r="C37" i="15"/>
  <c r="C39" i="15" s="1"/>
  <c r="B30" i="16"/>
  <c r="J60" i="10"/>
  <c r="K58" i="10"/>
  <c r="F3" i="16"/>
  <c r="J34" i="17"/>
  <c r="J35" i="17" s="1"/>
  <c r="J38" i="17"/>
  <c r="F3" i="13"/>
  <c r="L8" i="13"/>
  <c r="L9" i="13" s="1"/>
  <c r="K60" i="10"/>
  <c r="F3" i="12"/>
  <c r="B63" i="10"/>
  <c r="B65" i="10" s="1"/>
  <c r="K50" i="10"/>
  <c r="J26" i="12"/>
  <c r="J27" i="12" s="1"/>
  <c r="J29" i="12" s="1"/>
  <c r="B50" i="16"/>
  <c r="B52" i="16" s="1"/>
  <c r="L10" i="17"/>
  <c r="A49" i="8"/>
  <c r="A51" i="8" s="1"/>
  <c r="A55" i="14"/>
  <c r="F3" i="11"/>
  <c r="L8" i="12"/>
  <c r="L9" i="12" s="1"/>
  <c r="J33" i="18"/>
  <c r="J34" i="18" s="1"/>
  <c r="C63" i="10"/>
  <c r="C65" i="10" s="1"/>
  <c r="C23" i="15"/>
  <c r="L10" i="18"/>
  <c r="C29" i="8"/>
  <c r="B32" i="11"/>
  <c r="I8" i="8"/>
  <c r="I9" i="8" s="1"/>
  <c r="I43" i="8" s="1"/>
  <c r="I8" i="10"/>
  <c r="L8" i="10" s="1"/>
  <c r="L9" i="10" s="1"/>
  <c r="B55" i="14"/>
  <c r="K44" i="10"/>
  <c r="K45" i="10" s="1"/>
  <c r="K55" i="10"/>
  <c r="F3" i="10"/>
  <c r="I41" i="17"/>
  <c r="K51" i="10"/>
  <c r="B27" i="9"/>
  <c r="B5" i="15"/>
  <c r="C32" i="11"/>
  <c r="J62" i="10"/>
  <c r="F3" i="18"/>
  <c r="F3" i="14"/>
  <c r="F3" i="17"/>
  <c r="C27" i="9"/>
  <c r="B26" i="17"/>
  <c r="A50" i="16"/>
  <c r="A52" i="16" s="1"/>
  <c r="C36" i="10"/>
  <c r="K62" i="10"/>
  <c r="C50" i="16"/>
  <c r="C52" i="16" s="1"/>
  <c r="C53" i="14"/>
  <c r="C55" i="14" s="1"/>
  <c r="C45" i="9"/>
  <c r="C47" i="9" s="1"/>
  <c r="J43" i="9"/>
  <c r="B45" i="9"/>
  <c r="B47" i="9" s="1"/>
  <c r="C54" i="11"/>
  <c r="C56" i="11" s="1"/>
  <c r="B54" i="11"/>
  <c r="B56" i="11" s="1"/>
  <c r="C49" i="8"/>
  <c r="B49" i="8"/>
  <c r="B51" i="8" s="1"/>
  <c r="B5" i="18"/>
  <c r="J30" i="18"/>
  <c r="J31" i="18" s="1"/>
  <c r="K34" i="18"/>
  <c r="K30" i="18"/>
  <c r="J37" i="17"/>
  <c r="J40" i="17"/>
  <c r="J41" i="17"/>
  <c r="I39" i="17"/>
  <c r="K10" i="16"/>
  <c r="K47" i="16" s="1"/>
  <c r="L9" i="16"/>
  <c r="L8" i="16"/>
  <c r="J41" i="16"/>
  <c r="J47" i="16"/>
  <c r="J49" i="16"/>
  <c r="J44" i="16"/>
  <c r="I10" i="16"/>
  <c r="J35" i="15"/>
  <c r="J31" i="15"/>
  <c r="J36" i="15"/>
  <c r="J32" i="15"/>
  <c r="L8" i="15"/>
  <c r="L9" i="15" s="1"/>
  <c r="I35" i="15"/>
  <c r="I32" i="15"/>
  <c r="I31" i="15"/>
  <c r="K50" i="14"/>
  <c r="K40" i="14"/>
  <c r="K49" i="14"/>
  <c r="K44" i="14"/>
  <c r="K43" i="14"/>
  <c r="K46" i="14"/>
  <c r="K51" i="14"/>
  <c r="K39" i="14"/>
  <c r="K45" i="14"/>
  <c r="K48" i="14"/>
  <c r="K52" i="14"/>
  <c r="K47" i="14"/>
  <c r="J43" i="14"/>
  <c r="J39" i="14"/>
  <c r="J44" i="14"/>
  <c r="J46" i="14"/>
  <c r="J50" i="14"/>
  <c r="J47" i="14"/>
  <c r="J49" i="14"/>
  <c r="J48" i="14"/>
  <c r="J40" i="14"/>
  <c r="J51" i="14"/>
  <c r="J52" i="14"/>
  <c r="J45" i="14"/>
  <c r="L8" i="14"/>
  <c r="L9" i="14" s="1"/>
  <c r="I9" i="14"/>
  <c r="I43" i="14" s="1"/>
  <c r="K30" i="13"/>
  <c r="K32" i="13"/>
  <c r="K49" i="11"/>
  <c r="K53" i="11"/>
  <c r="K43" i="11"/>
  <c r="K45" i="11"/>
  <c r="K40" i="11"/>
  <c r="K41" i="11" s="1"/>
  <c r="K50" i="11"/>
  <c r="L8" i="11"/>
  <c r="K51" i="11"/>
  <c r="K47" i="11"/>
  <c r="I10" i="11"/>
  <c r="J58" i="10"/>
  <c r="J49" i="10"/>
  <c r="J51" i="10"/>
  <c r="J52" i="10"/>
  <c r="J54" i="10"/>
  <c r="J53" i="10"/>
  <c r="J50" i="10"/>
  <c r="J55" i="10"/>
  <c r="J61" i="10"/>
  <c r="J57" i="10"/>
  <c r="J47" i="10"/>
  <c r="J44" i="10"/>
  <c r="J45" i="10" s="1"/>
  <c r="J56" i="10"/>
  <c r="J48" i="10"/>
  <c r="A9" i="10"/>
  <c r="K35" i="9"/>
  <c r="K36" i="9" s="1"/>
  <c r="K39" i="9"/>
  <c r="K38" i="9"/>
  <c r="K40" i="9"/>
  <c r="K44" i="9"/>
  <c r="K41" i="9"/>
  <c r="K42" i="9"/>
  <c r="K43" i="9"/>
  <c r="J44" i="9"/>
  <c r="J42" i="9"/>
  <c r="J35" i="9"/>
  <c r="J36" i="9" s="1"/>
  <c r="J38" i="9"/>
  <c r="J41" i="9"/>
  <c r="J40" i="9"/>
  <c r="I42" i="9"/>
  <c r="I39" i="9"/>
  <c r="I43" i="9"/>
  <c r="I41" i="9"/>
  <c r="I38" i="9"/>
  <c r="I35" i="9"/>
  <c r="I44" i="9"/>
  <c r="I40" i="9"/>
  <c r="L8" i="9"/>
  <c r="L9" i="9" s="1"/>
  <c r="K43" i="8"/>
  <c r="K45" i="8"/>
  <c r="K47" i="8"/>
  <c r="K46" i="8"/>
  <c r="K41" i="8"/>
  <c r="K37" i="8"/>
  <c r="K44" i="8"/>
  <c r="K48" i="8"/>
  <c r="K42" i="8"/>
  <c r="K38" i="8"/>
  <c r="J47" i="8"/>
  <c r="J42" i="8"/>
  <c r="J44" i="8"/>
  <c r="J45" i="8"/>
  <c r="J38" i="8"/>
  <c r="J43" i="8"/>
  <c r="J41" i="8"/>
  <c r="J48" i="8"/>
  <c r="J37" i="8"/>
  <c r="J46" i="8"/>
  <c r="K52" i="11" l="1"/>
  <c r="J40" i="11"/>
  <c r="J41" i="11" s="1"/>
  <c r="J50" i="11"/>
  <c r="J44" i="11"/>
  <c r="J47" i="11"/>
  <c r="J54" i="11" s="1"/>
  <c r="J49" i="11"/>
  <c r="J51" i="11"/>
  <c r="J53" i="11"/>
  <c r="J48" i="16"/>
  <c r="J50" i="16" s="1"/>
  <c r="J52" i="16" s="1"/>
  <c r="J45" i="16"/>
  <c r="J46" i="16"/>
  <c r="J43" i="16"/>
  <c r="J38" i="16"/>
  <c r="J39" i="16" s="1"/>
  <c r="L29" i="13"/>
  <c r="L30" i="13" s="1"/>
  <c r="I9" i="10"/>
  <c r="I62" i="10" s="1"/>
  <c r="L62" i="10" s="1"/>
  <c r="K41" i="14"/>
  <c r="J35" i="13"/>
  <c r="A39" i="15"/>
  <c r="C51" i="8"/>
  <c r="K39" i="17"/>
  <c r="L39" i="17" s="1"/>
  <c r="K40" i="17"/>
  <c r="K41" i="17"/>
  <c r="L41" i="17" s="1"/>
  <c r="K37" i="17"/>
  <c r="L37" i="17" s="1"/>
  <c r="K34" i="17"/>
  <c r="K35" i="17" s="1"/>
  <c r="K37" i="15"/>
  <c r="K63" i="10"/>
  <c r="K65" i="10" s="1"/>
  <c r="I44" i="14"/>
  <c r="L44" i="14" s="1"/>
  <c r="I49" i="14"/>
  <c r="L49" i="14" s="1"/>
  <c r="I39" i="14"/>
  <c r="I51" i="14"/>
  <c r="L51" i="14" s="1"/>
  <c r="L39" i="9"/>
  <c r="L38" i="17"/>
  <c r="L36" i="15"/>
  <c r="L32" i="15"/>
  <c r="L26" i="12"/>
  <c r="L27" i="12" s="1"/>
  <c r="L29" i="12" s="1"/>
  <c r="L10" i="11"/>
  <c r="L33" i="18"/>
  <c r="L34" i="18" s="1"/>
  <c r="I44" i="8"/>
  <c r="L44" i="8" s="1"/>
  <c r="I46" i="8"/>
  <c r="L46" i="8" s="1"/>
  <c r="I47" i="8"/>
  <c r="L47" i="8" s="1"/>
  <c r="K46" i="16"/>
  <c r="K45" i="16"/>
  <c r="K48" i="16"/>
  <c r="I41" i="8"/>
  <c r="L41" i="8" s="1"/>
  <c r="K43" i="16"/>
  <c r="K33" i="15"/>
  <c r="I38" i="8"/>
  <c r="L38" i="8" s="1"/>
  <c r="L42" i="9"/>
  <c r="K54" i="11"/>
  <c r="K56" i="11" s="1"/>
  <c r="K49" i="16"/>
  <c r="K41" i="16"/>
  <c r="I42" i="17"/>
  <c r="I44" i="17" s="1"/>
  <c r="I35" i="13"/>
  <c r="K44" i="16"/>
  <c r="L8" i="8"/>
  <c r="L9" i="8" s="1"/>
  <c r="I42" i="8"/>
  <c r="L42" i="8" s="1"/>
  <c r="I48" i="8"/>
  <c r="L48" i="8" s="1"/>
  <c r="I37" i="8"/>
  <c r="K38" i="16"/>
  <c r="K39" i="16" s="1"/>
  <c r="I45" i="8"/>
  <c r="L45" i="8" s="1"/>
  <c r="L44" i="9"/>
  <c r="K42" i="16"/>
  <c r="J36" i="18"/>
  <c r="L40" i="9"/>
  <c r="J63" i="10"/>
  <c r="J65" i="10" s="1"/>
  <c r="L30" i="18"/>
  <c r="L31" i="18" s="1"/>
  <c r="K31" i="18"/>
  <c r="K36" i="18" s="1"/>
  <c r="L40" i="17"/>
  <c r="J42" i="17"/>
  <c r="J44" i="17" s="1"/>
  <c r="L10" i="16"/>
  <c r="I49" i="16"/>
  <c r="I48" i="16"/>
  <c r="I45" i="16"/>
  <c r="I47" i="16"/>
  <c r="L47" i="16" s="1"/>
  <c r="I44" i="16"/>
  <c r="I42" i="16"/>
  <c r="I43" i="16"/>
  <c r="I38" i="16"/>
  <c r="I46" i="16"/>
  <c r="I41" i="16"/>
  <c r="J33" i="15"/>
  <c r="J37" i="15"/>
  <c r="L31" i="15"/>
  <c r="I33" i="15"/>
  <c r="I37" i="15"/>
  <c r="L35" i="15"/>
  <c r="K53" i="14"/>
  <c r="K55" i="14" s="1"/>
  <c r="J53" i="14"/>
  <c r="J41" i="14"/>
  <c r="I48" i="14"/>
  <c r="L48" i="14" s="1"/>
  <c r="I46" i="14"/>
  <c r="L46" i="14" s="1"/>
  <c r="I52" i="14"/>
  <c r="L52" i="14" s="1"/>
  <c r="I50" i="14"/>
  <c r="L50" i="14" s="1"/>
  <c r="I47" i="14"/>
  <c r="L47" i="14" s="1"/>
  <c r="I45" i="14"/>
  <c r="L45" i="14" s="1"/>
  <c r="I40" i="14"/>
  <c r="L40" i="14" s="1"/>
  <c r="L43" i="14"/>
  <c r="K33" i="13"/>
  <c r="K35" i="13" s="1"/>
  <c r="L32" i="13"/>
  <c r="L33" i="13" s="1"/>
  <c r="L35" i="13" s="1"/>
  <c r="I53" i="11"/>
  <c r="L53" i="11" s="1"/>
  <c r="I48" i="11"/>
  <c r="L48" i="11" s="1"/>
  <c r="I40" i="11"/>
  <c r="I44" i="11"/>
  <c r="L44" i="11" s="1"/>
  <c r="I43" i="11"/>
  <c r="L43" i="11" s="1"/>
  <c r="I52" i="11"/>
  <c r="L52" i="11" s="1"/>
  <c r="I46" i="11"/>
  <c r="L46" i="11" s="1"/>
  <c r="I50" i="11"/>
  <c r="I45" i="11"/>
  <c r="I47" i="11"/>
  <c r="L47" i="11" s="1"/>
  <c r="I49" i="11"/>
  <c r="L49" i="11" s="1"/>
  <c r="I51" i="11"/>
  <c r="L51" i="11" s="1"/>
  <c r="I52" i="10"/>
  <c r="L52" i="10" s="1"/>
  <c r="I54" i="10"/>
  <c r="L54" i="10" s="1"/>
  <c r="I44" i="10"/>
  <c r="I51" i="10"/>
  <c r="L51" i="10" s="1"/>
  <c r="K45" i="9"/>
  <c r="K47" i="9" s="1"/>
  <c r="L43" i="9"/>
  <c r="L41" i="9"/>
  <c r="J45" i="9"/>
  <c r="J47" i="9" s="1"/>
  <c r="I36" i="9"/>
  <c r="L35" i="9"/>
  <c r="L36" i="9" s="1"/>
  <c r="I45" i="9"/>
  <c r="L38" i="9"/>
  <c r="L43" i="8"/>
  <c r="K39" i="8"/>
  <c r="K49" i="8"/>
  <c r="J39" i="8"/>
  <c r="J49" i="8"/>
  <c r="J56" i="11" l="1"/>
  <c r="L50" i="11"/>
  <c r="L48" i="16"/>
  <c r="L46" i="16"/>
  <c r="L42" i="16"/>
  <c r="K42" i="17"/>
  <c r="K44" i="17" s="1"/>
  <c r="I57" i="10"/>
  <c r="L57" i="10" s="1"/>
  <c r="I55" i="10"/>
  <c r="L55" i="10" s="1"/>
  <c r="I50" i="10"/>
  <c r="L50" i="10" s="1"/>
  <c r="I48" i="10"/>
  <c r="L48" i="10" s="1"/>
  <c r="I60" i="10"/>
  <c r="L60" i="10" s="1"/>
  <c r="I58" i="10"/>
  <c r="L58" i="10" s="1"/>
  <c r="I56" i="10"/>
  <c r="L56" i="10" s="1"/>
  <c r="I47" i="10"/>
  <c r="I53" i="10"/>
  <c r="L53" i="10" s="1"/>
  <c r="I49" i="10"/>
  <c r="L49" i="10" s="1"/>
  <c r="I61" i="10"/>
  <c r="L61" i="10" s="1"/>
  <c r="I59" i="10"/>
  <c r="L59" i="10" s="1"/>
  <c r="K39" i="15"/>
  <c r="L49" i="16"/>
  <c r="L34" i="17"/>
  <c r="L35" i="17" s="1"/>
  <c r="L36" i="18"/>
  <c r="I41" i="14"/>
  <c r="L39" i="14"/>
  <c r="L41" i="14" s="1"/>
  <c r="K50" i="16"/>
  <c r="K52" i="16" s="1"/>
  <c r="L37" i="15"/>
  <c r="L33" i="15"/>
  <c r="L43" i="16"/>
  <c r="I39" i="8"/>
  <c r="L37" i="8"/>
  <c r="L39" i="8" s="1"/>
  <c r="I49" i="8"/>
  <c r="L44" i="16"/>
  <c r="L45" i="16"/>
  <c r="L42" i="17"/>
  <c r="L41" i="16"/>
  <c r="I50" i="16"/>
  <c r="I39" i="16"/>
  <c r="L38" i="16"/>
  <c r="L39" i="16" s="1"/>
  <c r="J39" i="15"/>
  <c r="I39" i="15"/>
  <c r="J55" i="14"/>
  <c r="L53" i="14"/>
  <c r="I53" i="14"/>
  <c r="I41" i="11"/>
  <c r="L40" i="11"/>
  <c r="L41" i="11" s="1"/>
  <c r="I54" i="11"/>
  <c r="L45" i="11"/>
  <c r="L54" i="11" s="1"/>
  <c r="I45" i="10"/>
  <c r="L44" i="10"/>
  <c r="L45" i="10" s="1"/>
  <c r="L47" i="10"/>
  <c r="L45" i="9"/>
  <c r="L47" i="9" s="1"/>
  <c r="I47" i="9"/>
  <c r="L49" i="8"/>
  <c r="K51" i="8"/>
  <c r="J51" i="8"/>
  <c r="I63" i="10" l="1"/>
  <c r="L63" i="10"/>
  <c r="L65" i="10" s="1"/>
  <c r="L44" i="17"/>
  <c r="I55" i="14"/>
  <c r="L39" i="15"/>
  <c r="L50" i="16"/>
  <c r="L52" i="16" s="1"/>
  <c r="I51" i="8"/>
  <c r="I56" i="11"/>
  <c r="L51" i="8"/>
  <c r="I65" i="10"/>
  <c r="I52" i="16"/>
  <c r="L55" i="14"/>
  <c r="L56" i="11"/>
</calcChain>
</file>

<file path=xl/sharedStrings.xml><?xml version="1.0" encoding="utf-8"?>
<sst xmlns="http://schemas.openxmlformats.org/spreadsheetml/2006/main" count="1226" uniqueCount="123">
  <si>
    <t>VALUATIONS:</t>
  </si>
  <si>
    <t>Tangible</t>
  </si>
  <si>
    <t>Grand</t>
  </si>
  <si>
    <t>Personal</t>
  </si>
  <si>
    <t>Total</t>
  </si>
  <si>
    <t>Mineral</t>
  </si>
  <si>
    <t>Industrial</t>
  </si>
  <si>
    <t>Commercial</t>
  </si>
  <si>
    <t>Residential</t>
  </si>
  <si>
    <t>Real</t>
  </si>
  <si>
    <t>Property</t>
  </si>
  <si>
    <t>Agr / Res</t>
  </si>
  <si>
    <t>Other</t>
  </si>
  <si>
    <t>Valuation</t>
  </si>
  <si>
    <t>Authorized</t>
  </si>
  <si>
    <t>Res / Ag</t>
  </si>
  <si>
    <t>Tax</t>
  </si>
  <si>
    <t>Effective</t>
  </si>
  <si>
    <t>Levy</t>
  </si>
  <si>
    <t>Date</t>
  </si>
  <si>
    <t>Tax Year</t>
  </si>
  <si>
    <t>Number</t>
  </si>
  <si>
    <t>Rate</t>
  </si>
  <si>
    <t>Tax Rate</t>
  </si>
  <si>
    <t>D E S C R I P T I O N</t>
  </si>
  <si>
    <t>Type</t>
  </si>
  <si>
    <t>Year</t>
  </si>
  <si>
    <t>Of Vote</t>
  </si>
  <si>
    <t>Begins</t>
  </si>
  <si>
    <t>Of Years</t>
  </si>
  <si>
    <t>Expires</t>
  </si>
  <si>
    <t>INSIDE:</t>
  </si>
  <si>
    <t xml:space="preserve">  Total Inside</t>
  </si>
  <si>
    <t>OUTSIDE:</t>
  </si>
  <si>
    <t>Current Expense</t>
  </si>
  <si>
    <t>Additional</t>
  </si>
  <si>
    <t>1976</t>
  </si>
  <si>
    <t>Continuing</t>
  </si>
  <si>
    <t xml:space="preserve">  Total Outside</t>
  </si>
  <si>
    <t>Taxes</t>
  </si>
  <si>
    <t>General Fund</t>
  </si>
  <si>
    <t>Bond</t>
  </si>
  <si>
    <t>20</t>
  </si>
  <si>
    <t>Emergency</t>
  </si>
  <si>
    <t>3</t>
  </si>
  <si>
    <t>GRAND TOTAL</t>
  </si>
  <si>
    <t>1992</t>
  </si>
  <si>
    <t>11/03/92</t>
  </si>
  <si>
    <t>Ritter Library Bond ($1,600,000)</t>
  </si>
  <si>
    <t>2011</t>
  </si>
  <si>
    <t>Public Utility</t>
  </si>
  <si>
    <t>E S T I M A T E D    C O L L E C T I O N</t>
  </si>
  <si>
    <t>Agricultural</t>
  </si>
  <si>
    <t>Ritter Library Bond ($1,600,000)0.45 mills</t>
  </si>
  <si>
    <t>Emergency ($2,175,000) - Special Rev</t>
  </si>
  <si>
    <t>Emergency ($2,175,000) Special Rev</t>
  </si>
  <si>
    <t>This bond issue canceled</t>
  </si>
  <si>
    <t>Ended 5/3/2011</t>
  </si>
  <si>
    <t>Permanent Improvement</t>
  </si>
  <si>
    <t>Emergency ($1,423,500)</t>
  </si>
  <si>
    <t>Renewal</t>
  </si>
  <si>
    <t>00/00/1976</t>
  </si>
  <si>
    <t>00/00/76</t>
  </si>
  <si>
    <t>1993</t>
  </si>
  <si>
    <t xml:space="preserve">Emergency ($1,423,500) </t>
  </si>
  <si>
    <t>Bond ($3,959,000)</t>
  </si>
  <si>
    <t>Bond ($5,230,000)</t>
  </si>
  <si>
    <t>Education Technology</t>
  </si>
  <si>
    <t>OTTAWA CO</t>
  </si>
  <si>
    <t>WOOD CO</t>
  </si>
  <si>
    <t>Repl w/ decrease</t>
  </si>
  <si>
    <t>M I D D L E    B A S S    L S D</t>
  </si>
  <si>
    <t>L A K E    L S D</t>
  </si>
  <si>
    <t>G E N O A    A R E A    L S D</t>
  </si>
  <si>
    <t>D A N B U R Y    L S D</t>
  </si>
  <si>
    <t>B E N T O N    C A R R O L L    S A L E M    L S D</t>
  </si>
  <si>
    <t>N O R T H    B A S S    L S D</t>
  </si>
  <si>
    <t>P O R T    C L I N T O N    C S D</t>
  </si>
  <si>
    <t>Bond ( $42,000,000)</t>
  </si>
  <si>
    <t xml:space="preserve">Emergency ($1,734,000) </t>
  </si>
  <si>
    <t>Bond ($42,000,000)</t>
  </si>
  <si>
    <t>Emergency ($1,734,000)</t>
  </si>
  <si>
    <t>P U T   I N   B A Y   L S D</t>
  </si>
  <si>
    <t>Recreational</t>
  </si>
  <si>
    <t xml:space="preserve">Permanent Improvement </t>
  </si>
  <si>
    <t xml:space="preserve">W O O D M O R E    L O C A L    S C H O O L    D I S T R I C T </t>
  </si>
  <si>
    <t>SANDUSKY CO.</t>
  </si>
  <si>
    <t>Bond ($15,709,840)</t>
  </si>
  <si>
    <t xml:space="preserve">Emergency ($829,000) </t>
  </si>
  <si>
    <t>P E N T A    C O U N T Y    J V S D</t>
  </si>
  <si>
    <t>Ottawa Co.</t>
  </si>
  <si>
    <t>Premanent Improvement</t>
  </si>
  <si>
    <t>00/00/69</t>
  </si>
  <si>
    <t>V A N G U A R D    J V S D</t>
  </si>
  <si>
    <t>OTTAWA CO.</t>
  </si>
  <si>
    <t>Please note: Actual collection should be approximately 95% of the total taxes when delinquencies and fees are taken into account.</t>
  </si>
  <si>
    <t>Exempt</t>
  </si>
  <si>
    <t xml:space="preserve">Exempt </t>
  </si>
  <si>
    <t>Substitution</t>
  </si>
  <si>
    <t>Conintuing</t>
  </si>
  <si>
    <t>Bond ($36,000,000)</t>
  </si>
  <si>
    <t>Substitute RC5705.199</t>
  </si>
  <si>
    <t>Emergency ($1,300,000)</t>
  </si>
  <si>
    <t>Other Counties</t>
  </si>
  <si>
    <t>TAX YEAR:     2024</t>
  </si>
  <si>
    <t>COLLECTION YEAR:     2025</t>
  </si>
  <si>
    <t>January 1, 2024</t>
  </si>
  <si>
    <t>New Construction By School District</t>
  </si>
  <si>
    <t>BCS</t>
  </si>
  <si>
    <t>Res/Ag</t>
  </si>
  <si>
    <t>Com/Ind</t>
  </si>
  <si>
    <t>Danbury</t>
  </si>
  <si>
    <t>Genoa</t>
  </si>
  <si>
    <t>Lake</t>
  </si>
  <si>
    <t>Middle Bass</t>
  </si>
  <si>
    <t>North Bass</t>
  </si>
  <si>
    <t>Port Clinton</t>
  </si>
  <si>
    <t>Put-in-Bay</t>
  </si>
  <si>
    <t>Woodmore</t>
  </si>
  <si>
    <t>Total County</t>
  </si>
  <si>
    <t>DRAFT</t>
  </si>
  <si>
    <t>Without impact of 20 mill floor</t>
  </si>
  <si>
    <t>over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</si>
</sst>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,##0.000000"/>
    <numFmt numFmtId="165" formatCode="0.000000"/>
    <numFmt numFmtId="166" formatCode="_(&quot;$&quot;* #,##0_);_(&quot;$&quot;* \(#,##0\);_(&quot;$&quot;* &quot;-&quot;??_);_(@_)"/>
  </numFmts>
  <fonts count="17" x14ac:knownFonts="1">
    <font>
      <sz val="12"/>
      <name val="Arial"/>
    </font>
    <font>
      <b/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Times New Roman"/>
      <family val="1"/>
    </font>
    <font>
      <b/>
      <sz val="10"/>
      <name val="Times"/>
      <family val="1"/>
    </font>
    <font>
      <sz val="10"/>
      <name val="Times New Roman"/>
      <family val="1"/>
    </font>
    <font>
      <b/>
      <sz val="10"/>
      <color indexed="61"/>
      <name val="Times"/>
      <family val="1"/>
    </font>
    <font>
      <b/>
      <sz val="12"/>
      <color indexed="10"/>
      <name val="Arial"/>
      <family val="2"/>
    </font>
    <font>
      <sz val="10"/>
      <name val="Arial"/>
      <family val="2"/>
    </font>
    <font>
      <strike/>
      <sz val="12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trike/>
      <sz val="12"/>
      <color rgb="FFFF0000"/>
      <name val="Arial"/>
      <family val="2"/>
    </font>
    <font>
      <sz val="12"/>
      <name val="Arial"/>
    </font>
    <font>
      <sz val="28"/>
      <name val="Arial"/>
      <family val="2"/>
    </font>
    <font>
      <sz val="12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/>
      <right/>
      <top style="thick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top"/>
    </xf>
    <xf numFmtId="44" fontId="14" fillId="0" borderId="0" applyFont="0" applyFill="0" applyBorder="0" applyAlignment="0" applyProtection="0"/>
  </cellStyleXfs>
  <cellXfs count="120">
    <xf numFmtId="0" fontId="0" fillId="0" borderId="0" xfId="0" applyAlignment="1"/>
    <xf numFmtId="0" fontId="0" fillId="0" borderId="1" xfId="0" applyNumberFormat="1" applyFont="1" applyFill="1" applyBorder="1" applyAlignment="1"/>
    <xf numFmtId="3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3" xfId="0" applyNumberFormat="1" applyFont="1" applyFill="1" applyBorder="1" applyAlignment="1">
      <alignment horizontal="centerContinuous" vertical="center"/>
    </xf>
    <xf numFmtId="15" fontId="0" fillId="0" borderId="0" xfId="0" applyNumberFormat="1" applyAlignment="1"/>
    <xf numFmtId="3" fontId="0" fillId="0" borderId="0" xfId="0" applyNumberFormat="1" applyAlignment="1"/>
    <xf numFmtId="4" fontId="0" fillId="0" borderId="0" xfId="0" applyNumberFormat="1" applyAlignment="1"/>
    <xf numFmtId="164" fontId="0" fillId="0" borderId="0" xfId="0" applyNumberFormat="1" applyAlignment="1"/>
    <xf numFmtId="4" fontId="0" fillId="0" borderId="2" xfId="0" applyNumberFormat="1" applyFont="1" applyFill="1" applyBorder="1" applyAlignment="1"/>
    <xf numFmtId="164" fontId="0" fillId="0" borderId="2" xfId="0" applyNumberFormat="1" applyFont="1" applyFill="1" applyBorder="1" applyAlignment="1"/>
    <xf numFmtId="4" fontId="0" fillId="0" borderId="3" xfId="0" applyNumberFormat="1" applyFont="1" applyFill="1" applyBorder="1" applyAlignment="1"/>
    <xf numFmtId="3" fontId="0" fillId="0" borderId="4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3" xfId="0" applyNumberFormat="1" applyFill="1" applyBorder="1" applyAlignment="1">
      <alignment horizontal="centerContinuous" vertical="center"/>
    </xf>
    <xf numFmtId="0" fontId="0" fillId="0" borderId="1" xfId="0" applyNumberFormat="1" applyFill="1" applyBorder="1" applyAlignment="1">
      <alignment horizontal="center"/>
    </xf>
    <xf numFmtId="14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/>
    <xf numFmtId="3" fontId="0" fillId="0" borderId="0" xfId="0" applyNumberFormat="1" applyBorder="1" applyAlignment="1"/>
    <xf numFmtId="4" fontId="0" fillId="0" borderId="0" xfId="0" applyNumberFormat="1" applyBorder="1" applyAlignment="1"/>
    <xf numFmtId="0" fontId="6" fillId="0" borderId="0" xfId="0" applyFont="1" applyAlignment="1"/>
    <xf numFmtId="0" fontId="8" fillId="0" borderId="0" xfId="0" applyFont="1" applyAlignment="1"/>
    <xf numFmtId="0" fontId="0" fillId="0" borderId="0" xfId="0" quotePrefix="1" applyAlignment="1">
      <alignment horizontal="left"/>
    </xf>
    <xf numFmtId="0" fontId="0" fillId="0" borderId="0" xfId="0">
      <alignment vertical="top"/>
    </xf>
    <xf numFmtId="0" fontId="0" fillId="0" borderId="0" xfId="0" applyBorder="1" applyAlignment="1"/>
    <xf numFmtId="4" fontId="1" fillId="0" borderId="0" xfId="0" applyNumberFormat="1" applyFont="1" applyBorder="1" applyAlignment="1"/>
    <xf numFmtId="0" fontId="0" fillId="0" borderId="0" xfId="0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4" fontId="7" fillId="0" borderId="0" xfId="0" quotePrefix="1" applyNumberFormat="1" applyFont="1" applyBorder="1" applyAlignment="1">
      <alignment horizontal="center" wrapText="1"/>
    </xf>
    <xf numFmtId="37" fontId="6" fillId="0" borderId="0" xfId="0" applyNumberFormat="1" applyFont="1" applyBorder="1" applyAlignment="1"/>
    <xf numFmtId="0" fontId="12" fillId="0" borderId="0" xfId="0" applyFont="1" applyAlignment="1"/>
    <xf numFmtId="4" fontId="13" fillId="0" borderId="0" xfId="0" applyNumberFormat="1" applyFont="1" applyAlignment="1"/>
    <xf numFmtId="164" fontId="13" fillId="0" borderId="0" xfId="0" applyNumberFormat="1" applyFont="1" applyAlignment="1"/>
    <xf numFmtId="0" fontId="10" fillId="0" borderId="0" xfId="0" quotePrefix="1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14" fontId="10" fillId="0" borderId="0" xfId="0" quotePrefix="1" applyNumberFormat="1" applyFont="1" applyAlignment="1">
      <alignment horizontal="center"/>
    </xf>
    <xf numFmtId="0" fontId="3" fillId="0" borderId="0" xfId="0" applyFont="1" applyAlignment="1"/>
    <xf numFmtId="3" fontId="0" fillId="0" borderId="0" xfId="0" applyNumberFormat="1" applyFill="1" applyAlignment="1"/>
    <xf numFmtId="0" fontId="3" fillId="0" borderId="0" xfId="0" applyFont="1" applyAlignment="1">
      <alignment horizontal="center"/>
    </xf>
    <xf numFmtId="4" fontId="3" fillId="0" borderId="0" xfId="0" applyNumberFormat="1" applyFont="1" applyAlignment="1"/>
    <xf numFmtId="3" fontId="3" fillId="0" borderId="0" xfId="0" applyNumberFormat="1" applyFont="1" applyFill="1" applyAlignment="1"/>
    <xf numFmtId="164" fontId="3" fillId="0" borderId="0" xfId="0" applyNumberFormat="1" applyFont="1" applyFill="1" applyAlignment="1"/>
    <xf numFmtId="4" fontId="5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4" fillId="0" borderId="0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1" fontId="6" fillId="0" borderId="0" xfId="0" applyNumberFormat="1" applyFont="1" applyFill="1" applyBorder="1">
      <alignment vertical="top"/>
    </xf>
    <xf numFmtId="0" fontId="6" fillId="0" borderId="0" xfId="0" applyFont="1" applyFill="1" applyBorder="1">
      <alignment vertical="top"/>
    </xf>
    <xf numFmtId="2" fontId="6" fillId="0" borderId="0" xfId="0" applyNumberFormat="1" applyFont="1" applyFill="1" applyBorder="1">
      <alignment vertical="top"/>
    </xf>
    <xf numFmtId="4" fontId="6" fillId="0" borderId="0" xfId="0" applyNumberFormat="1" applyFont="1" applyFill="1" applyBorder="1">
      <alignment vertical="top"/>
    </xf>
    <xf numFmtId="4" fontId="9" fillId="0" borderId="0" xfId="0" applyNumberFormat="1" applyFont="1" applyFill="1" applyBorder="1" applyAlignment="1"/>
    <xf numFmtId="37" fontId="6" fillId="0" borderId="0" xfId="0" applyNumberFormat="1" applyFont="1" applyFill="1" applyBorder="1" applyAlignment="1"/>
    <xf numFmtId="0" fontId="9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/>
    <xf numFmtId="4" fontId="7" fillId="0" borderId="0" xfId="0" applyNumberFormat="1" applyFont="1" applyFill="1" applyBorder="1" applyAlignment="1">
      <alignment horizontal="center" wrapText="1"/>
    </xf>
    <xf numFmtId="4" fontId="7" fillId="0" borderId="0" xfId="0" quotePrefix="1" applyNumberFormat="1" applyFont="1" applyFill="1" applyBorder="1" applyAlignment="1">
      <alignment horizontal="center" wrapText="1"/>
    </xf>
    <xf numFmtId="2" fontId="4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>
      <alignment vertical="top"/>
    </xf>
    <xf numFmtId="4" fontId="2" fillId="0" borderId="4" xfId="0" applyNumberFormat="1" applyFont="1" applyFill="1" applyBorder="1" applyAlignment="1"/>
    <xf numFmtId="164" fontId="2" fillId="0" borderId="4" xfId="0" applyNumberFormat="1" applyFont="1" applyFill="1" applyBorder="1" applyAlignment="1"/>
    <xf numFmtId="165" fontId="2" fillId="0" borderId="0" xfId="0" quotePrefix="1" applyNumberFormat="1" applyFont="1" applyAlignment="1"/>
    <xf numFmtId="0" fontId="11" fillId="0" borderId="0" xfId="0" applyNumberFormat="1" applyFont="1" applyFill="1" applyBorder="1" applyAlignment="1"/>
    <xf numFmtId="0" fontId="3" fillId="0" borderId="0" xfId="0" quotePrefix="1" applyFont="1" applyAlignment="1">
      <alignment horizontal="center"/>
    </xf>
    <xf numFmtId="0" fontId="2" fillId="0" borderId="0" xfId="0" applyNumberFormat="1" applyFont="1" applyFill="1" applyBorder="1" applyAlignment="1"/>
    <xf numFmtId="3" fontId="3" fillId="0" borderId="0" xfId="0" applyNumberFormat="1" applyFont="1" applyAlignment="1"/>
    <xf numFmtId="0" fontId="8" fillId="0" borderId="0" xfId="0" applyFont="1" applyAlignment="1">
      <alignment horizontal="center"/>
    </xf>
    <xf numFmtId="4" fontId="0" fillId="0" borderId="0" xfId="0" applyNumberFormat="1" applyFont="1" applyFill="1" applyBorder="1" applyAlignment="1"/>
    <xf numFmtId="4" fontId="2" fillId="0" borderId="0" xfId="0" applyNumberFormat="1" applyFont="1" applyBorder="1" applyAlignment="1"/>
    <xf numFmtId="0" fontId="0" fillId="0" borderId="0" xfId="0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3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/>
    </xf>
    <xf numFmtId="3" fontId="0" fillId="0" borderId="7" xfId="0" applyNumberFormat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Continuous" vertical="center"/>
    </xf>
    <xf numFmtId="0" fontId="3" fillId="0" borderId="5" xfId="0" applyNumberFormat="1" applyFont="1" applyFill="1" applyBorder="1" applyAlignment="1">
      <alignment horizontal="center"/>
    </xf>
    <xf numFmtId="3" fontId="0" fillId="0" borderId="8" xfId="0" applyNumberFormat="1" applyBorder="1" applyAlignment="1"/>
    <xf numFmtId="3" fontId="3" fillId="0" borderId="6" xfId="0" applyNumberFormat="1" applyFont="1" applyBorder="1" applyAlignment="1"/>
    <xf numFmtId="0" fontId="0" fillId="0" borderId="5" xfId="0" applyBorder="1" applyAlignment="1"/>
    <xf numFmtId="166" fontId="0" fillId="0" borderId="0" xfId="1" applyNumberFormat="1" applyFont="1" applyAlignment="1"/>
    <xf numFmtId="166" fontId="0" fillId="0" borderId="5" xfId="1" applyNumberFormat="1" applyFont="1" applyBorder="1" applyAlignment="1"/>
    <xf numFmtId="166" fontId="0" fillId="0" borderId="0" xfId="0" applyNumberFormat="1" applyAlignment="1"/>
    <xf numFmtId="3" fontId="16" fillId="0" borderId="0" xfId="0" applyNumberFormat="1" applyFont="1" applyAlignment="1"/>
    <xf numFmtId="0" fontId="16" fillId="0" borderId="0" xfId="0" applyFont="1" applyAlignment="1"/>
    <xf numFmtId="0" fontId="1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30653</xdr:colOff>
      <xdr:row>0</xdr:row>
      <xdr:rowOff>28576</xdr:rowOff>
    </xdr:from>
    <xdr:ext cx="2091342" cy="94506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609753" y="28576"/>
          <a:ext cx="2091342" cy="94506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707733</xdr:colOff>
      <xdr:row>0</xdr:row>
      <xdr:rowOff>36010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232858" y="3601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307683</xdr:colOff>
      <xdr:row>0</xdr:row>
      <xdr:rowOff>7435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832808" y="743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202909</xdr:colOff>
      <xdr:row>0</xdr:row>
      <xdr:rowOff>64585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0928059" y="6458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136234</xdr:colOff>
      <xdr:row>0</xdr:row>
      <xdr:rowOff>64585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661359" y="6458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221959</xdr:colOff>
      <xdr:row>0</xdr:row>
      <xdr:rowOff>0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0747084" y="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126709</xdr:colOff>
      <xdr:row>0</xdr:row>
      <xdr:rowOff>74110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651834" y="7411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2:P69"/>
  <sheetViews>
    <sheetView zoomScale="75" zoomScaleNormal="75" workbookViewId="0">
      <selection activeCell="C29" sqref="C29"/>
    </sheetView>
  </sheetViews>
  <sheetFormatPr defaultColWidth="13.21875" defaultRowHeight="15" x14ac:dyDescent="0.2"/>
  <cols>
    <col min="1" max="1" width="12.77734375" customWidth="1"/>
    <col min="2" max="10" width="12.21875" customWidth="1"/>
    <col min="11" max="11" width="13.77734375" customWidth="1"/>
    <col min="12" max="12" width="12.21875" customWidth="1"/>
    <col min="13" max="13" width="16.21875" style="33" customWidth="1"/>
    <col min="14" max="14" width="14.5546875" bestFit="1" customWidth="1"/>
  </cols>
  <sheetData>
    <row r="2" spans="1:13" ht="18" x14ac:dyDescent="0.25">
      <c r="A2" s="74" t="s">
        <v>75</v>
      </c>
      <c r="B2" s="47"/>
      <c r="C2" s="47"/>
      <c r="D2" s="47"/>
      <c r="J2" s="119"/>
      <c r="K2" s="119"/>
      <c r="L2" s="119"/>
      <c r="M2" s="119"/>
    </row>
    <row r="3" spans="1:13" ht="15.75" x14ac:dyDescent="0.25">
      <c r="A3" s="47"/>
      <c r="B3" s="47"/>
      <c r="C3" s="47"/>
      <c r="D3" s="47"/>
      <c r="F3" s="24" t="s">
        <v>104</v>
      </c>
      <c r="H3" s="24" t="s">
        <v>105</v>
      </c>
      <c r="J3" s="119"/>
      <c r="K3" s="119"/>
      <c r="L3" s="119"/>
      <c r="M3" s="119"/>
    </row>
    <row r="4" spans="1:13" x14ac:dyDescent="0.2">
      <c r="A4" s="47"/>
      <c r="B4" s="47"/>
      <c r="C4" s="47"/>
      <c r="D4" s="47"/>
      <c r="H4" s="5"/>
    </row>
    <row r="5" spans="1:13" ht="15.75" x14ac:dyDescent="0.25">
      <c r="A5" s="24" t="s">
        <v>0</v>
      </c>
      <c r="B5" s="73" t="s">
        <v>106</v>
      </c>
      <c r="H5" s="14" t="s">
        <v>1</v>
      </c>
      <c r="L5" s="14" t="s">
        <v>2</v>
      </c>
    </row>
    <row r="6" spans="1:13" x14ac:dyDescent="0.2">
      <c r="F6" s="19" t="s">
        <v>50</v>
      </c>
      <c r="G6" s="4"/>
      <c r="H6" s="14" t="s">
        <v>3</v>
      </c>
      <c r="I6" s="14" t="s">
        <v>4</v>
      </c>
      <c r="J6" s="14" t="s">
        <v>4</v>
      </c>
      <c r="K6" s="14" t="s">
        <v>4</v>
      </c>
      <c r="L6" s="14" t="s">
        <v>4</v>
      </c>
    </row>
    <row r="7" spans="1:13" ht="15.75" thickBot="1" x14ac:dyDescent="0.25">
      <c r="A7" s="20" t="s">
        <v>52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3</v>
      </c>
      <c r="H7" s="13" t="s">
        <v>10</v>
      </c>
      <c r="I7" s="13" t="s">
        <v>11</v>
      </c>
      <c r="J7" s="13" t="s">
        <v>12</v>
      </c>
      <c r="K7" s="13" t="s">
        <v>3</v>
      </c>
      <c r="L7" s="13" t="s">
        <v>13</v>
      </c>
      <c r="M7" s="89" t="s">
        <v>96</v>
      </c>
    </row>
    <row r="8" spans="1:13" ht="15.75" thickTop="1" x14ac:dyDescent="0.2">
      <c r="A8" s="48">
        <f>31117170+519830+387470+20363200+47320+21491700+1455560+125740+18000</f>
        <v>75525990</v>
      </c>
      <c r="B8" s="48">
        <v>0</v>
      </c>
      <c r="C8" s="48">
        <f>791590+82374470+3053120+613750</f>
        <v>86832930</v>
      </c>
      <c r="D8" s="48">
        <f>203800+8265710+3906090+63510+529280+5955660+484210+127820</f>
        <v>19536080</v>
      </c>
      <c r="E8" s="48">
        <f>60767040+7175910+229890+73661970+12375950+2721140+60575310+59018100+351630</f>
        <v>276876940</v>
      </c>
      <c r="F8" s="51">
        <v>261500</v>
      </c>
      <c r="G8" s="51">
        <v>59313340</v>
      </c>
      <c r="H8" s="6"/>
      <c r="I8" s="6">
        <f>A8+E8</f>
        <v>352402930</v>
      </c>
      <c r="J8" s="6">
        <f>B8+C8+D8+F8</f>
        <v>106630510</v>
      </c>
      <c r="K8" s="6">
        <f>G8+H8</f>
        <v>59313340</v>
      </c>
      <c r="L8" s="6">
        <f>I8+J8+K8</f>
        <v>518346780</v>
      </c>
      <c r="M8" s="100">
        <v>31367720</v>
      </c>
    </row>
    <row r="9" spans="1:13" x14ac:dyDescent="0.2">
      <c r="A9" s="2"/>
      <c r="B9" s="2">
        <f t="shared" ref="B9:M9" si="0">SUM(B8:B8)</f>
        <v>0</v>
      </c>
      <c r="C9" s="2">
        <f t="shared" si="0"/>
        <v>86832930</v>
      </c>
      <c r="D9" s="2">
        <f t="shared" si="0"/>
        <v>19536080</v>
      </c>
      <c r="E9" s="2">
        <f t="shared" si="0"/>
        <v>276876940</v>
      </c>
      <c r="F9" s="2">
        <f t="shared" si="0"/>
        <v>261500</v>
      </c>
      <c r="G9" s="2">
        <f t="shared" si="0"/>
        <v>59313340</v>
      </c>
      <c r="H9" s="2">
        <f t="shared" si="0"/>
        <v>0</v>
      </c>
      <c r="I9" s="2">
        <f t="shared" si="0"/>
        <v>352402930</v>
      </c>
      <c r="J9" s="2">
        <f t="shared" si="0"/>
        <v>106630510</v>
      </c>
      <c r="K9" s="2">
        <f t="shared" si="0"/>
        <v>59313340</v>
      </c>
      <c r="L9" s="2">
        <f t="shared" si="0"/>
        <v>518346780</v>
      </c>
      <c r="M9" s="90">
        <f t="shared" si="0"/>
        <v>31367720</v>
      </c>
    </row>
    <row r="10" spans="1:13" x14ac:dyDescent="0.2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3" x14ac:dyDescent="0.2">
      <c r="A11" s="14" t="s">
        <v>14</v>
      </c>
      <c r="B11" s="14" t="s">
        <v>15</v>
      </c>
      <c r="C11" s="14" t="s">
        <v>12</v>
      </c>
    </row>
    <row r="12" spans="1:13" x14ac:dyDescent="0.2">
      <c r="A12" s="14" t="s">
        <v>16</v>
      </c>
      <c r="B12" s="14" t="s">
        <v>17</v>
      </c>
      <c r="C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20</v>
      </c>
    </row>
    <row r="13" spans="1:13" x14ac:dyDescent="0.2">
      <c r="A13" s="13" t="s">
        <v>22</v>
      </c>
      <c r="B13" s="13" t="s">
        <v>23</v>
      </c>
      <c r="C13" s="13" t="s">
        <v>23</v>
      </c>
      <c r="D13" s="1" t="s">
        <v>24</v>
      </c>
      <c r="E13" s="1"/>
      <c r="F13" s="1"/>
      <c r="G13" s="13" t="s">
        <v>25</v>
      </c>
      <c r="H13" s="13" t="s">
        <v>26</v>
      </c>
      <c r="I13" s="13" t="s">
        <v>27</v>
      </c>
      <c r="J13" s="13" t="s">
        <v>28</v>
      </c>
      <c r="K13" s="13" t="s">
        <v>29</v>
      </c>
      <c r="L13" s="13" t="s">
        <v>30</v>
      </c>
    </row>
    <row r="14" spans="1:13" ht="15.75" thickTop="1" x14ac:dyDescent="0.2">
      <c r="A14" s="3" t="s">
        <v>31</v>
      </c>
    </row>
    <row r="15" spans="1:13" x14ac:dyDescent="0.2">
      <c r="A15" s="7">
        <v>3.7</v>
      </c>
      <c r="B15" s="8">
        <v>3.7</v>
      </c>
      <c r="C15" s="8">
        <v>3.7</v>
      </c>
      <c r="D15" t="s">
        <v>40</v>
      </c>
    </row>
    <row r="16" spans="1:13" x14ac:dyDescent="0.2">
      <c r="A16" s="7">
        <v>0.3</v>
      </c>
      <c r="B16" s="8">
        <v>0.3</v>
      </c>
      <c r="C16" s="8">
        <v>0.3</v>
      </c>
      <c r="D16" s="47" t="s">
        <v>58</v>
      </c>
    </row>
    <row r="17" spans="1:15" x14ac:dyDescent="0.2">
      <c r="A17" s="9">
        <f>SUM(A14:A16)</f>
        <v>4</v>
      </c>
      <c r="B17" s="10">
        <f>SUM(B14:B16)</f>
        <v>4</v>
      </c>
      <c r="C17" s="10">
        <f>SUM(C14:C16)</f>
        <v>4</v>
      </c>
      <c r="D17" t="s">
        <v>32</v>
      </c>
    </row>
    <row r="18" spans="1:15" x14ac:dyDescent="0.2">
      <c r="A18" s="11" t="s">
        <v>33</v>
      </c>
      <c r="B18" s="8"/>
      <c r="C18" s="8"/>
    </row>
    <row r="19" spans="1:15" x14ac:dyDescent="0.2">
      <c r="A19" s="7">
        <v>20.7</v>
      </c>
      <c r="B19" s="8">
        <v>11.360035</v>
      </c>
      <c r="C19" s="8">
        <v>11.016415</v>
      </c>
      <c r="D19" t="s">
        <v>34</v>
      </c>
      <c r="G19" s="14" t="s">
        <v>35</v>
      </c>
      <c r="H19" s="14" t="s">
        <v>36</v>
      </c>
      <c r="I19" s="49" t="s">
        <v>61</v>
      </c>
      <c r="J19" s="14" t="s">
        <v>36</v>
      </c>
      <c r="K19" s="14" t="s">
        <v>37</v>
      </c>
      <c r="L19" s="14" t="s">
        <v>37</v>
      </c>
    </row>
    <row r="20" spans="1:15" x14ac:dyDescent="0.2">
      <c r="A20" s="7">
        <v>1.2</v>
      </c>
      <c r="B20" s="8">
        <v>0.23377500000000001</v>
      </c>
      <c r="C20" s="8">
        <v>0.38799</v>
      </c>
      <c r="D20" s="47" t="s">
        <v>58</v>
      </c>
      <c r="G20" s="49" t="s">
        <v>60</v>
      </c>
      <c r="H20" s="14">
        <v>1979</v>
      </c>
      <c r="I20" s="23">
        <v>45237</v>
      </c>
      <c r="J20" s="14">
        <v>2024</v>
      </c>
      <c r="K20" s="14">
        <v>5</v>
      </c>
      <c r="L20" s="14">
        <v>2028</v>
      </c>
    </row>
    <row r="21" spans="1:15" x14ac:dyDescent="0.2">
      <c r="A21" s="7">
        <v>4.33</v>
      </c>
      <c r="B21" s="8">
        <v>2.482834</v>
      </c>
      <c r="C21" s="8">
        <v>2.649397</v>
      </c>
      <c r="D21" t="s">
        <v>34</v>
      </c>
      <c r="G21" s="49" t="s">
        <v>60</v>
      </c>
      <c r="H21" s="14">
        <v>1991</v>
      </c>
      <c r="I21" s="23">
        <v>44502</v>
      </c>
      <c r="J21" s="14">
        <v>2022</v>
      </c>
      <c r="K21" s="14" t="s">
        <v>99</v>
      </c>
      <c r="L21" s="14" t="s">
        <v>37</v>
      </c>
    </row>
    <row r="22" spans="1:15" x14ac:dyDescent="0.2">
      <c r="A22" s="7">
        <v>3.9</v>
      </c>
      <c r="B22" s="8">
        <v>2.4571519999999998</v>
      </c>
      <c r="C22" s="8">
        <v>2.6341920000000001</v>
      </c>
      <c r="D22" t="s">
        <v>34</v>
      </c>
      <c r="G22" s="49" t="s">
        <v>60</v>
      </c>
      <c r="H22" s="14">
        <v>2000</v>
      </c>
      <c r="I22" s="23">
        <v>45237</v>
      </c>
      <c r="J22" s="14">
        <v>2024</v>
      </c>
      <c r="K22" s="14">
        <v>5</v>
      </c>
      <c r="L22" s="14">
        <v>2028</v>
      </c>
    </row>
    <row r="23" spans="1:15" hidden="1" x14ac:dyDescent="0.2">
      <c r="A23" s="40">
        <v>0</v>
      </c>
      <c r="B23" s="41">
        <v>0</v>
      </c>
      <c r="C23" s="41">
        <v>0</v>
      </c>
      <c r="D23" s="42" t="s">
        <v>54</v>
      </c>
      <c r="E23" s="43"/>
      <c r="F23" s="43"/>
      <c r="G23" s="44" t="s">
        <v>43</v>
      </c>
      <c r="H23" s="45">
        <v>2005</v>
      </c>
      <c r="I23" s="46">
        <v>39511</v>
      </c>
      <c r="J23" s="45">
        <v>2008</v>
      </c>
      <c r="K23" s="45" t="s">
        <v>44</v>
      </c>
      <c r="L23" s="45">
        <v>2010</v>
      </c>
      <c r="M23" s="87" t="s">
        <v>57</v>
      </c>
    </row>
    <row r="24" spans="1:15" ht="15.75" x14ac:dyDescent="0.25">
      <c r="A24" s="50">
        <v>2.75</v>
      </c>
      <c r="B24" s="52">
        <v>2.75</v>
      </c>
      <c r="C24" s="52">
        <v>2.75</v>
      </c>
      <c r="D24" s="47" t="s">
        <v>59</v>
      </c>
      <c r="G24" s="14" t="s">
        <v>43</v>
      </c>
      <c r="H24" s="22">
        <v>2022</v>
      </c>
      <c r="I24" s="21">
        <v>44873</v>
      </c>
      <c r="J24" s="22">
        <v>2023</v>
      </c>
      <c r="K24" s="22">
        <v>10</v>
      </c>
      <c r="L24" s="22">
        <v>2032</v>
      </c>
      <c r="M24" s="88"/>
      <c r="N24" s="28"/>
      <c r="O24" s="14"/>
    </row>
    <row r="25" spans="1:15" ht="15.75" hidden="1" x14ac:dyDescent="0.25">
      <c r="A25" s="7">
        <v>0</v>
      </c>
      <c r="B25" s="8">
        <v>0</v>
      </c>
      <c r="C25" s="8">
        <v>0</v>
      </c>
      <c r="D25" t="s">
        <v>53</v>
      </c>
      <c r="G25" s="14" t="s">
        <v>41</v>
      </c>
      <c r="H25" s="14" t="s">
        <v>46</v>
      </c>
      <c r="I25" s="14" t="s">
        <v>47</v>
      </c>
      <c r="J25" s="14" t="s">
        <v>46</v>
      </c>
      <c r="K25" s="14" t="s">
        <v>42</v>
      </c>
      <c r="L25" s="14" t="s">
        <v>49</v>
      </c>
      <c r="M25" s="88" t="s">
        <v>56</v>
      </c>
      <c r="N25" s="28"/>
    </row>
    <row r="26" spans="1:15" ht="15.75" x14ac:dyDescent="0.25">
      <c r="A26" s="7">
        <v>3.1</v>
      </c>
      <c r="B26" s="8">
        <v>3.1</v>
      </c>
      <c r="C26" s="8">
        <v>3.1</v>
      </c>
      <c r="D26" t="s">
        <v>43</v>
      </c>
      <c r="G26" s="14" t="s">
        <v>60</v>
      </c>
      <c r="H26" s="14">
        <v>2019</v>
      </c>
      <c r="I26" s="23">
        <v>45237</v>
      </c>
      <c r="J26" s="14">
        <v>2024</v>
      </c>
      <c r="K26" s="14">
        <v>5</v>
      </c>
      <c r="L26" s="14">
        <v>2028</v>
      </c>
      <c r="M26" s="88"/>
      <c r="N26" s="28"/>
    </row>
    <row r="27" spans="1:15" x14ac:dyDescent="0.2">
      <c r="A27" s="9">
        <f>SUM(A19:A26)</f>
        <v>35.979999999999997</v>
      </c>
      <c r="B27" s="10">
        <f>SUM(B19:B26)</f>
        <v>22.383796</v>
      </c>
      <c r="C27" s="10">
        <f>SUM(C19:C26)</f>
        <v>22.537994000000001</v>
      </c>
      <c r="D27" t="s">
        <v>38</v>
      </c>
    </row>
    <row r="28" spans="1:15" ht="15.75" thickBot="1" x14ac:dyDescent="0.25">
      <c r="A28" s="7"/>
      <c r="B28" s="8"/>
      <c r="C28" s="8"/>
    </row>
    <row r="29" spans="1:15" ht="16.5" thickTop="1" x14ac:dyDescent="0.25">
      <c r="A29" s="71">
        <f>(+A17+A27)</f>
        <v>39.979999999999997</v>
      </c>
      <c r="B29" s="72">
        <f>(+B17+B27)</f>
        <v>26.383796</v>
      </c>
      <c r="C29" s="72">
        <f>(+C17+C27)</f>
        <v>26.537994000000001</v>
      </c>
      <c r="D29" t="s">
        <v>45</v>
      </c>
    </row>
    <row r="32" spans="1:15" x14ac:dyDescent="0.2">
      <c r="A32" s="7"/>
      <c r="B32" s="8"/>
      <c r="C32" s="8"/>
    </row>
    <row r="33" spans="1:15" x14ac:dyDescent="0.2">
      <c r="A33" s="15" t="s">
        <v>14</v>
      </c>
      <c r="B33" s="17" t="s">
        <v>15</v>
      </c>
      <c r="C33" s="17" t="s">
        <v>12</v>
      </c>
      <c r="I33" s="19" t="s">
        <v>51</v>
      </c>
      <c r="J33" s="4"/>
      <c r="K33" s="4"/>
      <c r="L33" s="4"/>
      <c r="M33" s="81"/>
      <c r="N33" s="31"/>
    </row>
    <row r="34" spans="1:15" x14ac:dyDescent="0.2">
      <c r="A34" s="15" t="s">
        <v>16</v>
      </c>
      <c r="B34" s="17" t="s">
        <v>17</v>
      </c>
      <c r="C34" s="17" t="s">
        <v>17</v>
      </c>
      <c r="I34" s="14" t="s">
        <v>4</v>
      </c>
      <c r="J34" s="14" t="s">
        <v>4</v>
      </c>
      <c r="K34" s="14" t="s">
        <v>4</v>
      </c>
      <c r="L34" s="14" t="s">
        <v>4</v>
      </c>
      <c r="N34" s="33"/>
    </row>
    <row r="35" spans="1:15" ht="15.75" thickBot="1" x14ac:dyDescent="0.25">
      <c r="A35" s="16" t="s">
        <v>22</v>
      </c>
      <c r="B35" s="18" t="s">
        <v>23</v>
      </c>
      <c r="C35" s="18" t="s">
        <v>23</v>
      </c>
      <c r="D35" s="1" t="s">
        <v>24</v>
      </c>
      <c r="E35" s="1"/>
      <c r="F35" s="1"/>
      <c r="G35" s="1"/>
      <c r="H35" s="1"/>
      <c r="I35" s="13" t="s">
        <v>11</v>
      </c>
      <c r="J35" s="13" t="s">
        <v>12</v>
      </c>
      <c r="K35" s="13" t="s">
        <v>3</v>
      </c>
      <c r="L35" s="13" t="s">
        <v>39</v>
      </c>
      <c r="M35" s="34"/>
      <c r="N35" s="35"/>
    </row>
    <row r="36" spans="1:15" ht="15.75" thickTop="1" x14ac:dyDescent="0.2">
      <c r="A36" s="3" t="s">
        <v>31</v>
      </c>
      <c r="I36" s="6"/>
      <c r="J36" s="6"/>
      <c r="K36" s="6"/>
      <c r="L36" s="6"/>
      <c r="N36" s="31"/>
    </row>
    <row r="37" spans="1:15" x14ac:dyDescent="0.2">
      <c r="A37" s="7">
        <f t="shared" ref="A37:C38" si="1">A15</f>
        <v>3.7</v>
      </c>
      <c r="B37" s="8">
        <f t="shared" si="1"/>
        <v>3.7</v>
      </c>
      <c r="C37" s="8">
        <f t="shared" si="1"/>
        <v>3.7</v>
      </c>
      <c r="D37" t="s">
        <v>40</v>
      </c>
      <c r="I37" s="6">
        <f>($I$9*B37)/1000</f>
        <v>1303890.841</v>
      </c>
      <c r="J37" s="6">
        <f>($J$9*C37)/1000</f>
        <v>394532.88699999999</v>
      </c>
      <c r="K37" s="6">
        <f>($K$9*A37)/1000</f>
        <v>219459.35800000001</v>
      </c>
      <c r="L37" s="6">
        <f>SUM(I37:K37)</f>
        <v>1917883.0860000001</v>
      </c>
      <c r="M37" s="82"/>
      <c r="N37" s="25"/>
    </row>
    <row r="38" spans="1:15" x14ac:dyDescent="0.2">
      <c r="A38" s="7">
        <f t="shared" si="1"/>
        <v>0.3</v>
      </c>
      <c r="B38" s="8">
        <f t="shared" si="1"/>
        <v>0.3</v>
      </c>
      <c r="C38" s="8">
        <f t="shared" si="1"/>
        <v>0.3</v>
      </c>
      <c r="D38" s="47" t="s">
        <v>58</v>
      </c>
      <c r="I38" s="6">
        <f>($I$9*B38)/1000</f>
        <v>105720.879</v>
      </c>
      <c r="J38" s="6">
        <f>($J$9*C38)/1000</f>
        <v>31989.152999999998</v>
      </c>
      <c r="K38" s="6">
        <f>($K$9*A38)/1000</f>
        <v>17794.002</v>
      </c>
      <c r="L38" s="6">
        <f>SUM(I38:K38)</f>
        <v>155504.03400000001</v>
      </c>
      <c r="M38" s="82"/>
      <c r="N38" s="25"/>
    </row>
    <row r="39" spans="1:15" x14ac:dyDescent="0.2">
      <c r="A39" s="9">
        <f>SUM(A36:A38)</f>
        <v>4</v>
      </c>
      <c r="B39" s="10">
        <f>SUM(B36:B38)</f>
        <v>4</v>
      </c>
      <c r="C39" s="10">
        <f>SUM(C36:C38)</f>
        <v>4</v>
      </c>
      <c r="D39" t="s">
        <v>32</v>
      </c>
      <c r="I39" s="2">
        <f>SUM(I37:I38)</f>
        <v>1409611.72</v>
      </c>
      <c r="J39" s="2">
        <f>SUM(J37:J38)</f>
        <v>426522.04</v>
      </c>
      <c r="K39" s="2">
        <f>SUM(K37:K38)</f>
        <v>237253.36000000002</v>
      </c>
      <c r="L39" s="2">
        <f>SUM(L37:L38)</f>
        <v>2073387.12</v>
      </c>
      <c r="M39" s="82"/>
      <c r="N39" s="25"/>
    </row>
    <row r="40" spans="1:15" x14ac:dyDescent="0.2">
      <c r="A40" s="11" t="s">
        <v>33</v>
      </c>
      <c r="B40" s="8"/>
      <c r="C40" s="8"/>
      <c r="I40" s="6"/>
      <c r="J40" s="6"/>
      <c r="K40" s="6"/>
      <c r="L40" s="6"/>
      <c r="N40" s="31"/>
    </row>
    <row r="41" spans="1:15" x14ac:dyDescent="0.2">
      <c r="A41" s="7">
        <f t="shared" ref="A41:C44" si="2">A19</f>
        <v>20.7</v>
      </c>
      <c r="B41" s="8">
        <f>B19</f>
        <v>11.360035</v>
      </c>
      <c r="C41" s="8">
        <f t="shared" si="2"/>
        <v>11.016415</v>
      </c>
      <c r="D41" t="s">
        <v>34</v>
      </c>
      <c r="I41" s="6">
        <f t="shared" ref="I41:I48" si="3">($I$9*B41)/1000</f>
        <v>4003309.6189025496</v>
      </c>
      <c r="J41" s="6">
        <f t="shared" ref="J41:J48" si="4">($J$9*C41)/1000</f>
        <v>1174685.9498216501</v>
      </c>
      <c r="K41" s="6">
        <f t="shared" ref="K41:K48" si="5">($K$9*A41)/1000</f>
        <v>1227786.138</v>
      </c>
      <c r="L41" s="6">
        <f t="shared" ref="L41:L48" si="6">SUM(I41:K41)</f>
        <v>6405781.7067242004</v>
      </c>
      <c r="M41" s="82"/>
      <c r="N41" s="25"/>
    </row>
    <row r="42" spans="1:15" x14ac:dyDescent="0.2">
      <c r="A42" s="7">
        <f t="shared" si="2"/>
        <v>1.2</v>
      </c>
      <c r="B42" s="8">
        <f t="shared" si="2"/>
        <v>0.23377500000000001</v>
      </c>
      <c r="C42" s="8">
        <f t="shared" si="2"/>
        <v>0.38799</v>
      </c>
      <c r="D42" s="47" t="s">
        <v>58</v>
      </c>
      <c r="I42" s="6">
        <f t="shared" si="3"/>
        <v>82382.994960750002</v>
      </c>
      <c r="J42" s="6">
        <f t="shared" si="4"/>
        <v>41371.571574900001</v>
      </c>
      <c r="K42" s="6">
        <f t="shared" si="5"/>
        <v>71176.008000000002</v>
      </c>
      <c r="L42" s="6">
        <f t="shared" si="6"/>
        <v>194930.57453565</v>
      </c>
      <c r="M42" s="82"/>
      <c r="N42" s="25"/>
    </row>
    <row r="43" spans="1:15" x14ac:dyDescent="0.2">
      <c r="A43" s="7">
        <f t="shared" si="2"/>
        <v>4.33</v>
      </c>
      <c r="B43" s="8">
        <f t="shared" si="2"/>
        <v>2.482834</v>
      </c>
      <c r="C43" s="8">
        <f t="shared" si="2"/>
        <v>2.649397</v>
      </c>
      <c r="D43" t="s">
        <v>34</v>
      </c>
      <c r="I43" s="6">
        <f t="shared" si="3"/>
        <v>874957.97630362003</v>
      </c>
      <c r="J43" s="6">
        <f t="shared" si="4"/>
        <v>282506.55330247001</v>
      </c>
      <c r="K43" s="6">
        <f t="shared" si="5"/>
        <v>256826.76220000003</v>
      </c>
      <c r="L43" s="6">
        <f t="shared" si="6"/>
        <v>1414291.2918060899</v>
      </c>
      <c r="M43" s="82"/>
      <c r="N43" s="25"/>
    </row>
    <row r="44" spans="1:15" x14ac:dyDescent="0.2">
      <c r="A44" s="7">
        <f t="shared" si="2"/>
        <v>3.9</v>
      </c>
      <c r="B44" s="8">
        <f t="shared" si="2"/>
        <v>2.4571519999999998</v>
      </c>
      <c r="C44" s="8">
        <f t="shared" si="2"/>
        <v>2.6341920000000001</v>
      </c>
      <c r="D44" t="s">
        <v>34</v>
      </c>
      <c r="I44" s="6">
        <f t="shared" si="3"/>
        <v>865907.56425535993</v>
      </c>
      <c r="J44" s="6">
        <f t="shared" si="4"/>
        <v>280885.23639792</v>
      </c>
      <c r="K44" s="6">
        <f t="shared" si="5"/>
        <v>231322.02600000001</v>
      </c>
      <c r="L44" s="6">
        <f t="shared" si="6"/>
        <v>1378114.8266532801</v>
      </c>
      <c r="M44" s="82"/>
      <c r="N44" s="25"/>
    </row>
    <row r="45" spans="1:15" hidden="1" x14ac:dyDescent="0.2">
      <c r="A45" s="7">
        <f t="shared" ref="A45:C45" si="7">A23</f>
        <v>0</v>
      </c>
      <c r="B45" s="8">
        <f t="shared" si="7"/>
        <v>0</v>
      </c>
      <c r="C45" s="8">
        <f t="shared" si="7"/>
        <v>0</v>
      </c>
      <c r="D45" s="42" t="s">
        <v>55</v>
      </c>
      <c r="E45" s="43"/>
      <c r="F45" s="43"/>
      <c r="I45" s="6">
        <f t="shared" si="3"/>
        <v>0</v>
      </c>
      <c r="J45" s="6">
        <f t="shared" si="4"/>
        <v>0</v>
      </c>
      <c r="K45" s="6">
        <f t="shared" si="5"/>
        <v>0</v>
      </c>
      <c r="L45" s="6">
        <f t="shared" si="6"/>
        <v>0</v>
      </c>
      <c r="N45" s="25"/>
    </row>
    <row r="46" spans="1:15" x14ac:dyDescent="0.2">
      <c r="A46" s="7">
        <v>2.75</v>
      </c>
      <c r="B46" s="8">
        <v>2.75</v>
      </c>
      <c r="C46" s="8">
        <v>2.75</v>
      </c>
      <c r="D46" s="47" t="s">
        <v>64</v>
      </c>
      <c r="I46" s="6">
        <f t="shared" si="3"/>
        <v>969108.0575</v>
      </c>
      <c r="J46" s="6">
        <f t="shared" si="4"/>
        <v>293233.90250000003</v>
      </c>
      <c r="K46" s="6">
        <f t="shared" si="5"/>
        <v>163111.685</v>
      </c>
      <c r="L46" s="6">
        <f t="shared" si="6"/>
        <v>1425453.645</v>
      </c>
      <c r="N46" s="25"/>
    </row>
    <row r="47" spans="1:15" hidden="1" x14ac:dyDescent="0.2">
      <c r="A47" s="7">
        <f t="shared" ref="A47:C47" si="8">A25</f>
        <v>0</v>
      </c>
      <c r="B47" s="8">
        <f t="shared" si="8"/>
        <v>0</v>
      </c>
      <c r="C47" s="8">
        <f t="shared" si="8"/>
        <v>0</v>
      </c>
      <c r="D47" t="s">
        <v>48</v>
      </c>
      <c r="I47" s="6">
        <f t="shared" si="3"/>
        <v>0</v>
      </c>
      <c r="J47" s="6">
        <f t="shared" si="4"/>
        <v>0</v>
      </c>
      <c r="K47" s="6">
        <f t="shared" si="5"/>
        <v>0</v>
      </c>
      <c r="L47" s="6">
        <f t="shared" si="6"/>
        <v>0</v>
      </c>
      <c r="N47" s="25"/>
      <c r="O47" s="29"/>
    </row>
    <row r="48" spans="1:15" x14ac:dyDescent="0.2">
      <c r="A48" s="7">
        <f t="shared" ref="A48" si="9">A26</f>
        <v>3.1</v>
      </c>
      <c r="B48" s="8">
        <v>3</v>
      </c>
      <c r="C48" s="8">
        <f t="shared" ref="C48" si="10">C26</f>
        <v>3.1</v>
      </c>
      <c r="D48" t="s">
        <v>43</v>
      </c>
      <c r="I48" s="6">
        <f t="shared" si="3"/>
        <v>1057208.79</v>
      </c>
      <c r="J48" s="6">
        <f t="shared" si="4"/>
        <v>330554.58100000001</v>
      </c>
      <c r="K48" s="6">
        <f t="shared" si="5"/>
        <v>183871.35399999999</v>
      </c>
      <c r="L48" s="6">
        <f t="shared" si="6"/>
        <v>1571634.7250000001</v>
      </c>
      <c r="N48" s="25"/>
      <c r="O48" s="29"/>
    </row>
    <row r="49" spans="1:16" x14ac:dyDescent="0.2">
      <c r="A49" s="9">
        <f>SUM(A41:A48)</f>
        <v>35.979999999999997</v>
      </c>
      <c r="B49" s="10">
        <f>SUM(B41:B48)</f>
        <v>22.283795999999999</v>
      </c>
      <c r="C49" s="10">
        <f>SUM(C41:C48)</f>
        <v>22.537994000000001</v>
      </c>
      <c r="D49" t="s">
        <v>38</v>
      </c>
      <c r="I49" s="2">
        <f>SUM(I41:I48)</f>
        <v>7852875.0019222796</v>
      </c>
      <c r="J49" s="2">
        <f>SUM(J41:J48)</f>
        <v>2403237.7945969403</v>
      </c>
      <c r="K49" s="2">
        <f>SUM(K41:K48)</f>
        <v>2134093.9731999999</v>
      </c>
      <c r="L49" s="2">
        <f>SUM(L41:L48)</f>
        <v>12390206.769719219</v>
      </c>
      <c r="M49" s="82"/>
      <c r="N49" s="25"/>
    </row>
    <row r="50" spans="1:16" ht="15.75" thickBot="1" x14ac:dyDescent="0.25">
      <c r="A50" s="7"/>
      <c r="B50" s="8"/>
      <c r="C50" s="8"/>
      <c r="I50" s="6"/>
      <c r="J50" s="6"/>
      <c r="K50" s="6"/>
      <c r="L50" s="6"/>
      <c r="N50" s="31"/>
    </row>
    <row r="51" spans="1:16" ht="16.5" thickTop="1" x14ac:dyDescent="0.25">
      <c r="A51" s="71">
        <f>(+A39+A49)</f>
        <v>39.979999999999997</v>
      </c>
      <c r="B51" s="72">
        <f>(+B39+B49)</f>
        <v>26.283795999999999</v>
      </c>
      <c r="C51" s="72">
        <f>(+C39+C49)</f>
        <v>26.537994000000001</v>
      </c>
      <c r="D51" t="s">
        <v>45</v>
      </c>
      <c r="I51" s="12">
        <f>(+I39+I49)</f>
        <v>9262486.7219222803</v>
      </c>
      <c r="J51" s="12">
        <f>(+J39+J49)</f>
        <v>2829759.8345969403</v>
      </c>
      <c r="K51" s="12">
        <f>(+K39+K49)</f>
        <v>2371347.3331999998</v>
      </c>
      <c r="L51" s="12">
        <f>(+L39+L49)</f>
        <v>14463593.889719218</v>
      </c>
      <c r="M51" s="83"/>
      <c r="N51" s="36"/>
    </row>
    <row r="52" spans="1:16" x14ac:dyDescent="0.2">
      <c r="I52" s="6"/>
      <c r="J52" s="6"/>
      <c r="K52" s="6"/>
      <c r="L52" s="6"/>
    </row>
    <row r="53" spans="1:16" x14ac:dyDescent="0.2">
      <c r="F53" s="37"/>
      <c r="G53" s="37"/>
      <c r="H53" s="55"/>
      <c r="I53" s="69"/>
      <c r="J53" s="56"/>
      <c r="K53" s="53"/>
      <c r="L53" s="53"/>
      <c r="M53" s="53"/>
      <c r="N53" s="53"/>
      <c r="O53" s="67"/>
      <c r="P53" s="68"/>
    </row>
    <row r="54" spans="1:16" ht="15.75" x14ac:dyDescent="0.25">
      <c r="D54" s="24" t="s">
        <v>95</v>
      </c>
      <c r="F54" s="38"/>
      <c r="G54" s="38"/>
      <c r="H54" s="57"/>
      <c r="I54" s="70"/>
      <c r="J54" s="59"/>
      <c r="K54" s="60"/>
      <c r="L54" s="60"/>
      <c r="M54" s="84"/>
      <c r="N54" s="64"/>
      <c r="O54" s="62"/>
      <c r="P54" s="62"/>
    </row>
    <row r="55" spans="1:16" x14ac:dyDescent="0.2">
      <c r="F55" s="38"/>
      <c r="G55" s="38"/>
      <c r="H55" s="57"/>
      <c r="I55" s="58"/>
      <c r="J55" s="59"/>
      <c r="K55" s="60"/>
      <c r="L55" s="60"/>
      <c r="M55" s="85"/>
      <c r="N55" s="62"/>
      <c r="O55" s="62"/>
      <c r="P55" s="62"/>
    </row>
    <row r="56" spans="1:16" x14ac:dyDescent="0.2">
      <c r="F56" s="38"/>
      <c r="G56" s="38"/>
      <c r="H56" s="57"/>
      <c r="I56" s="58"/>
      <c r="J56" s="59"/>
      <c r="K56" s="60"/>
      <c r="L56" s="60"/>
      <c r="M56" s="85"/>
      <c r="N56" s="62"/>
      <c r="O56" s="62"/>
      <c r="P56" s="62"/>
    </row>
    <row r="57" spans="1:16" x14ac:dyDescent="0.2">
      <c r="F57" s="38"/>
      <c r="G57" s="38"/>
      <c r="H57" s="57"/>
      <c r="I57" s="58"/>
      <c r="J57" s="59"/>
      <c r="K57" s="60"/>
      <c r="L57" s="60"/>
      <c r="M57" s="84"/>
      <c r="N57" s="64"/>
      <c r="O57" s="62"/>
      <c r="P57" s="62"/>
    </row>
    <row r="58" spans="1:16" x14ac:dyDescent="0.2">
      <c r="F58" s="38"/>
      <c r="G58" s="38"/>
      <c r="H58" s="57"/>
      <c r="I58" s="58"/>
      <c r="J58" s="59"/>
      <c r="K58" s="60"/>
      <c r="L58" s="60"/>
      <c r="M58" s="84"/>
      <c r="N58" s="64"/>
      <c r="O58" s="62"/>
      <c r="P58" s="62"/>
    </row>
    <row r="59" spans="1:16" x14ac:dyDescent="0.2">
      <c r="F59" s="38"/>
      <c r="G59" s="38"/>
      <c r="H59" s="57"/>
      <c r="I59" s="58"/>
      <c r="J59" s="59"/>
      <c r="K59" s="60"/>
      <c r="L59" s="60"/>
      <c r="M59" s="84"/>
      <c r="N59" s="64"/>
      <c r="O59" s="62"/>
      <c r="P59" s="62"/>
    </row>
    <row r="60" spans="1:16" x14ac:dyDescent="0.2">
      <c r="F60" s="38"/>
      <c r="G60" s="38"/>
      <c r="H60" s="57"/>
      <c r="I60" s="58"/>
      <c r="J60" s="59"/>
      <c r="K60" s="60"/>
      <c r="L60" s="60"/>
      <c r="M60" s="84"/>
      <c r="N60" s="64"/>
      <c r="O60" s="62"/>
      <c r="P60" s="62"/>
    </row>
    <row r="61" spans="1:16" x14ac:dyDescent="0.2">
      <c r="F61" s="27"/>
      <c r="G61" s="27"/>
      <c r="H61" s="61"/>
      <c r="I61" s="63"/>
      <c r="J61" s="63"/>
      <c r="K61" s="61"/>
      <c r="L61" s="64"/>
      <c r="M61" s="84"/>
      <c r="N61" s="64"/>
      <c r="O61" s="54"/>
      <c r="P61" s="54"/>
    </row>
    <row r="62" spans="1:16" x14ac:dyDescent="0.2">
      <c r="H62" s="54"/>
      <c r="I62" s="54"/>
      <c r="J62" s="54"/>
      <c r="K62" s="54"/>
      <c r="L62" s="66"/>
      <c r="M62" s="86"/>
      <c r="N62" s="66"/>
      <c r="O62" s="54"/>
      <c r="P62" s="54"/>
    </row>
    <row r="63" spans="1:16" x14ac:dyDescent="0.2">
      <c r="H63" s="54"/>
      <c r="I63" s="65"/>
      <c r="J63" s="54"/>
      <c r="K63" s="54"/>
      <c r="L63" s="66"/>
      <c r="M63" s="85"/>
      <c r="N63" s="62"/>
      <c r="O63" s="54"/>
      <c r="P63" s="54"/>
    </row>
    <row r="64" spans="1:16" x14ac:dyDescent="0.2">
      <c r="H64" s="54"/>
      <c r="I64" s="54"/>
      <c r="J64" s="54"/>
      <c r="K64" s="54"/>
      <c r="L64" s="54"/>
      <c r="M64" s="81"/>
      <c r="N64" s="54"/>
      <c r="O64" s="54"/>
      <c r="P64" s="54"/>
    </row>
    <row r="66" spans="9:9" x14ac:dyDescent="0.2">
      <c r="I66" s="31"/>
    </row>
    <row r="67" spans="9:9" x14ac:dyDescent="0.2">
      <c r="I67" s="31"/>
    </row>
    <row r="68" spans="9:9" x14ac:dyDescent="0.2">
      <c r="I68" s="31"/>
    </row>
    <row r="69" spans="9:9" ht="15.75" x14ac:dyDescent="0.25">
      <c r="I69" s="32"/>
    </row>
  </sheetData>
  <mergeCells count="1">
    <mergeCell ref="J2:M3"/>
  </mergeCells>
  <phoneticPr fontId="0" type="noConversion"/>
  <pageMargins left="0.25" right="0.25" top="0.25" bottom="0.25" header="0.5" footer="0.5"/>
  <pageSetup scale="6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P62"/>
  <sheetViews>
    <sheetView workbookViewId="0">
      <selection activeCell="K2" sqref="K2:N3"/>
    </sheetView>
  </sheetViews>
  <sheetFormatPr defaultColWidth="13.21875" defaultRowHeight="15" x14ac:dyDescent="0.2"/>
  <cols>
    <col min="1" max="1" width="12.77734375" customWidth="1"/>
    <col min="2" max="10" width="12.21875" customWidth="1"/>
    <col min="11" max="11" width="13.77734375" customWidth="1"/>
    <col min="12" max="12" width="12.21875" customWidth="1"/>
    <col min="13" max="13" width="16.21875" customWidth="1"/>
    <col min="14" max="14" width="14.5546875" bestFit="1" customWidth="1"/>
  </cols>
  <sheetData>
    <row r="2" spans="1:14" ht="15.75" customHeight="1" x14ac:dyDescent="0.25">
      <c r="A2" s="76" t="s">
        <v>89</v>
      </c>
      <c r="B2" s="47"/>
      <c r="C2" s="47"/>
      <c r="D2" s="47"/>
      <c r="K2" s="119"/>
      <c r="L2" s="119"/>
      <c r="M2" s="119"/>
      <c r="N2" s="119"/>
    </row>
    <row r="3" spans="1:14" ht="15.75" customHeight="1" x14ac:dyDescent="0.25">
      <c r="A3" s="47"/>
      <c r="B3" s="47"/>
      <c r="C3" s="47"/>
      <c r="D3" s="47"/>
      <c r="F3" s="24" t="str">
        <f>'Danbury LSD'!$F$3</f>
        <v>TAX YEAR:     2024</v>
      </c>
      <c r="H3" s="24" t="str">
        <f>'Danbury LSD'!$H$3</f>
        <v>COLLECTION YEAR:     2025</v>
      </c>
      <c r="J3" s="30"/>
      <c r="K3" s="119"/>
      <c r="L3" s="119"/>
      <c r="M3" s="119"/>
      <c r="N3" s="119"/>
    </row>
    <row r="4" spans="1:14" x14ac:dyDescent="0.2">
      <c r="A4" s="47"/>
      <c r="B4" s="47"/>
      <c r="C4" s="47"/>
      <c r="D4" s="47"/>
      <c r="H4" s="5"/>
    </row>
    <row r="5" spans="1:14" ht="15.75" x14ac:dyDescent="0.25">
      <c r="A5" s="24" t="s">
        <v>0</v>
      </c>
      <c r="B5" s="73" t="str">
        <f>'Danbury LSD'!$B$5</f>
        <v>January 1, 2024</v>
      </c>
      <c r="H5" s="14" t="s">
        <v>1</v>
      </c>
      <c r="L5" s="14" t="s">
        <v>2</v>
      </c>
    </row>
    <row r="6" spans="1:14" x14ac:dyDescent="0.2">
      <c r="F6" s="19" t="s">
        <v>50</v>
      </c>
      <c r="G6" s="4"/>
      <c r="H6" s="14" t="s">
        <v>3</v>
      </c>
      <c r="I6" s="14" t="s">
        <v>4</v>
      </c>
      <c r="J6" s="14" t="s">
        <v>4</v>
      </c>
      <c r="K6" s="14" t="s">
        <v>4</v>
      </c>
      <c r="L6" s="14" t="s">
        <v>4</v>
      </c>
    </row>
    <row r="7" spans="1:14" ht="15.75" thickBot="1" x14ac:dyDescent="0.25">
      <c r="A7" s="20" t="s">
        <v>52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3</v>
      </c>
      <c r="H7" s="13" t="s">
        <v>10</v>
      </c>
      <c r="I7" s="13" t="s">
        <v>11</v>
      </c>
      <c r="J7" s="13" t="s">
        <v>12</v>
      </c>
      <c r="K7" s="13" t="s">
        <v>3</v>
      </c>
      <c r="L7" s="13" t="s">
        <v>13</v>
      </c>
    </row>
    <row r="8" spans="1:14" ht="15.75" thickTop="1" x14ac:dyDescent="0.2">
      <c r="A8" s="48">
        <v>139087760</v>
      </c>
      <c r="B8" s="48">
        <f>'BSC LSD'!B8+'Genoa LSD'!B8+'Lake LSD'!B8+'Woodmore LSD'!B8</f>
        <v>0</v>
      </c>
      <c r="C8" s="48">
        <f>'BSC LSD'!C8+'Genoa LSD'!C8+'Lake LSD'!C8+'Woodmore LSD'!C8</f>
        <v>95219590</v>
      </c>
      <c r="D8" s="48">
        <f>'BSC LSD'!D8+'Genoa LSD'!D8+'Lake LSD'!D8+'Woodmore LSD'!D8</f>
        <v>38574420</v>
      </c>
      <c r="E8" s="48">
        <v>571052400</v>
      </c>
      <c r="F8" s="51">
        <v>388450</v>
      </c>
      <c r="G8" s="51">
        <v>77085740</v>
      </c>
      <c r="H8" s="6"/>
      <c r="I8" s="6">
        <f>A8+E8</f>
        <v>710140160</v>
      </c>
      <c r="J8" s="6">
        <f>C8+D8</f>
        <v>133794010</v>
      </c>
      <c r="K8" s="6">
        <f>G8+F8</f>
        <v>77474190</v>
      </c>
      <c r="L8" s="6">
        <f>I8+J8+K8</f>
        <v>921408360</v>
      </c>
      <c r="M8" s="47" t="s">
        <v>90</v>
      </c>
    </row>
    <row r="9" spans="1:14" x14ac:dyDescent="0.2">
      <c r="A9" s="6"/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77">
        <f>I9+J9+K9</f>
        <v>0</v>
      </c>
      <c r="M9" s="47" t="s">
        <v>103</v>
      </c>
      <c r="N9" s="6"/>
    </row>
    <row r="10" spans="1:14" x14ac:dyDescent="0.2">
      <c r="A10" s="2">
        <f t="shared" ref="A10:L10" si="0">SUM(A8:A9)</f>
        <v>139087760</v>
      </c>
      <c r="B10" s="2">
        <f t="shared" si="0"/>
        <v>0</v>
      </c>
      <c r="C10" s="2">
        <f t="shared" si="0"/>
        <v>95219590</v>
      </c>
      <c r="D10" s="2">
        <f t="shared" si="0"/>
        <v>38574420</v>
      </c>
      <c r="E10" s="2">
        <f t="shared" si="0"/>
        <v>571052400</v>
      </c>
      <c r="F10" s="2">
        <f t="shared" si="0"/>
        <v>388450</v>
      </c>
      <c r="G10" s="2">
        <f t="shared" si="0"/>
        <v>77085740</v>
      </c>
      <c r="H10" s="2">
        <f t="shared" si="0"/>
        <v>0</v>
      </c>
      <c r="I10" s="2">
        <f t="shared" si="0"/>
        <v>710140160</v>
      </c>
      <c r="J10" s="2">
        <f t="shared" si="0"/>
        <v>133794010</v>
      </c>
      <c r="K10" s="2">
        <f t="shared" si="0"/>
        <v>77474190</v>
      </c>
      <c r="L10" s="2">
        <f t="shared" si="0"/>
        <v>921408360</v>
      </c>
    </row>
    <row r="11" spans="1:14" x14ac:dyDescent="0.2">
      <c r="A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x14ac:dyDescent="0.2">
      <c r="A12" s="14" t="s">
        <v>14</v>
      </c>
      <c r="B12" s="14" t="s">
        <v>15</v>
      </c>
      <c r="C12" s="14" t="s">
        <v>12</v>
      </c>
    </row>
    <row r="13" spans="1:14" x14ac:dyDescent="0.2">
      <c r="A13" s="14" t="s">
        <v>16</v>
      </c>
      <c r="B13" s="14" t="s">
        <v>17</v>
      </c>
      <c r="C13" s="14" t="s">
        <v>17</v>
      </c>
      <c r="H13" s="14" t="s">
        <v>18</v>
      </c>
      <c r="I13" s="14" t="s">
        <v>19</v>
      </c>
      <c r="J13" s="14" t="s">
        <v>20</v>
      </c>
      <c r="K13" s="14" t="s">
        <v>21</v>
      </c>
      <c r="L13" s="14" t="s">
        <v>20</v>
      </c>
    </row>
    <row r="14" spans="1:14" ht="15.75" thickBot="1" x14ac:dyDescent="0.25">
      <c r="A14" s="13" t="s">
        <v>22</v>
      </c>
      <c r="B14" s="13" t="s">
        <v>23</v>
      </c>
      <c r="C14" s="13" t="s">
        <v>23</v>
      </c>
      <c r="D14" s="1" t="s">
        <v>24</v>
      </c>
      <c r="E14" s="1"/>
      <c r="F14" s="1"/>
      <c r="G14" s="13" t="s">
        <v>25</v>
      </c>
      <c r="H14" s="13" t="s">
        <v>26</v>
      </c>
      <c r="I14" s="13" t="s">
        <v>27</v>
      </c>
      <c r="J14" s="13" t="s">
        <v>28</v>
      </c>
      <c r="K14" s="13" t="s">
        <v>29</v>
      </c>
      <c r="L14" s="13" t="s">
        <v>30</v>
      </c>
    </row>
    <row r="15" spans="1:14" ht="15.75" thickTop="1" x14ac:dyDescent="0.2">
      <c r="A15" s="3" t="s">
        <v>31</v>
      </c>
    </row>
    <row r="16" spans="1:14" x14ac:dyDescent="0.2">
      <c r="A16" s="7">
        <v>0</v>
      </c>
      <c r="B16" s="8">
        <v>0</v>
      </c>
      <c r="C16" s="8">
        <v>0</v>
      </c>
    </row>
    <row r="17" spans="1:14" x14ac:dyDescent="0.2">
      <c r="A17" s="9">
        <f>SUM(A15:A16)</f>
        <v>0</v>
      </c>
      <c r="B17" s="10">
        <f>SUM(B15:B16)</f>
        <v>0</v>
      </c>
      <c r="C17" s="10">
        <f>SUM(C15:C16)</f>
        <v>0</v>
      </c>
      <c r="D17" t="s">
        <v>32</v>
      </c>
    </row>
    <row r="18" spans="1:14" x14ac:dyDescent="0.2">
      <c r="A18" s="11" t="s">
        <v>33</v>
      </c>
      <c r="B18" s="8"/>
      <c r="C18" s="8"/>
    </row>
    <row r="19" spans="1:14" x14ac:dyDescent="0.2">
      <c r="A19" s="7">
        <v>0.6</v>
      </c>
      <c r="B19" s="8">
        <v>0.54545399999999999</v>
      </c>
      <c r="C19" s="8">
        <v>0.54545399999999999</v>
      </c>
      <c r="D19" t="s">
        <v>34</v>
      </c>
      <c r="G19" s="14" t="s">
        <v>35</v>
      </c>
      <c r="H19" s="14" t="s">
        <v>36</v>
      </c>
      <c r="I19" s="49" t="s">
        <v>92</v>
      </c>
      <c r="J19" s="14" t="s">
        <v>36</v>
      </c>
      <c r="K19" s="14" t="s">
        <v>37</v>
      </c>
      <c r="L19" s="14" t="s">
        <v>37</v>
      </c>
    </row>
    <row r="20" spans="1:14" x14ac:dyDescent="0.2">
      <c r="A20" s="7">
        <v>0.8</v>
      </c>
      <c r="B20" s="8">
        <v>0.72727200000000003</v>
      </c>
      <c r="C20" s="8">
        <v>0.72727200000000003</v>
      </c>
      <c r="D20" t="s">
        <v>34</v>
      </c>
      <c r="G20" s="14" t="s">
        <v>35</v>
      </c>
      <c r="H20" s="14">
        <v>1976</v>
      </c>
      <c r="I20" s="23">
        <v>27338</v>
      </c>
      <c r="J20" s="14">
        <v>1976</v>
      </c>
      <c r="K20" s="14" t="s">
        <v>37</v>
      </c>
      <c r="L20" s="14" t="s">
        <v>37</v>
      </c>
    </row>
    <row r="21" spans="1:14" x14ac:dyDescent="0.2">
      <c r="A21" s="7">
        <v>0.8</v>
      </c>
      <c r="B21" s="8">
        <v>0.72727200000000003</v>
      </c>
      <c r="C21" s="8">
        <v>0.72727200000000003</v>
      </c>
      <c r="D21" t="s">
        <v>34</v>
      </c>
      <c r="G21" s="14" t="s">
        <v>35</v>
      </c>
      <c r="H21" s="14">
        <v>1981</v>
      </c>
      <c r="I21" s="23">
        <v>29893</v>
      </c>
      <c r="J21" s="14">
        <v>1981</v>
      </c>
      <c r="K21" s="14" t="s">
        <v>37</v>
      </c>
      <c r="L21" s="14" t="s">
        <v>37</v>
      </c>
    </row>
    <row r="22" spans="1:14" x14ac:dyDescent="0.2">
      <c r="A22" s="7">
        <v>1</v>
      </c>
      <c r="B22" s="8">
        <v>0.57844200000000001</v>
      </c>
      <c r="C22" s="8">
        <v>0.83618700000000001</v>
      </c>
      <c r="D22" s="47" t="s">
        <v>91</v>
      </c>
      <c r="G22" s="14" t="s">
        <v>35</v>
      </c>
      <c r="H22" s="14">
        <v>2003</v>
      </c>
      <c r="I22" s="23">
        <v>37929</v>
      </c>
      <c r="J22" s="14">
        <v>2003</v>
      </c>
      <c r="K22" s="14" t="s">
        <v>37</v>
      </c>
      <c r="L22" s="14" t="s">
        <v>37</v>
      </c>
    </row>
    <row r="23" spans="1:14" hidden="1" x14ac:dyDescent="0.2">
      <c r="A23" s="40">
        <v>0</v>
      </c>
      <c r="B23" s="41">
        <v>0</v>
      </c>
      <c r="C23" s="41">
        <v>0</v>
      </c>
      <c r="D23" s="42" t="s">
        <v>54</v>
      </c>
      <c r="E23" s="43"/>
      <c r="F23" s="43"/>
      <c r="G23" s="44" t="s">
        <v>43</v>
      </c>
      <c r="H23" s="45">
        <v>2005</v>
      </c>
      <c r="I23" s="46">
        <v>39511</v>
      </c>
      <c r="J23" s="45">
        <v>2008</v>
      </c>
      <c r="K23" s="45" t="s">
        <v>44</v>
      </c>
      <c r="L23" s="45">
        <v>2010</v>
      </c>
      <c r="M23" s="39" t="s">
        <v>57</v>
      </c>
    </row>
    <row r="24" spans="1:14" x14ac:dyDescent="0.2">
      <c r="A24" s="9">
        <f>SUM(A19:A23)</f>
        <v>3.2</v>
      </c>
      <c r="B24" s="10">
        <f>SUM(B19:B23)</f>
        <v>2.5784400000000001</v>
      </c>
      <c r="C24" s="10">
        <f>SUM(C19:C23)</f>
        <v>2.8361850000000004</v>
      </c>
      <c r="D24" t="s">
        <v>38</v>
      </c>
    </row>
    <row r="25" spans="1:14" ht="15.75" thickBot="1" x14ac:dyDescent="0.25">
      <c r="A25" s="7"/>
      <c r="B25" s="8"/>
      <c r="C25" s="8"/>
    </row>
    <row r="26" spans="1:14" ht="16.5" thickTop="1" x14ac:dyDescent="0.25">
      <c r="A26" s="71">
        <f>(+A17+A24)</f>
        <v>3.2</v>
      </c>
      <c r="B26" s="72">
        <f>(+B17+B24)</f>
        <v>2.5784400000000001</v>
      </c>
      <c r="C26" s="72">
        <f>(+C17+C24)</f>
        <v>2.8361850000000004</v>
      </c>
      <c r="D26" t="s">
        <v>45</v>
      </c>
    </row>
    <row r="29" spans="1:14" x14ac:dyDescent="0.2">
      <c r="A29" s="7"/>
      <c r="B29" s="8"/>
      <c r="C29" s="8"/>
    </row>
    <row r="30" spans="1:14" x14ac:dyDescent="0.2">
      <c r="A30" s="15" t="s">
        <v>14</v>
      </c>
      <c r="B30" s="17" t="s">
        <v>15</v>
      </c>
      <c r="C30" s="17" t="s">
        <v>12</v>
      </c>
      <c r="I30" s="19" t="s">
        <v>51</v>
      </c>
      <c r="J30" s="4"/>
      <c r="K30" s="4"/>
      <c r="L30" s="4"/>
      <c r="M30" s="54"/>
      <c r="N30" s="31"/>
    </row>
    <row r="31" spans="1:14" x14ac:dyDescent="0.2">
      <c r="A31" s="15" t="s">
        <v>16</v>
      </c>
      <c r="B31" s="17" t="s">
        <v>17</v>
      </c>
      <c r="C31" s="17" t="s">
        <v>17</v>
      </c>
      <c r="I31" s="14" t="s">
        <v>4</v>
      </c>
      <c r="J31" s="14" t="s">
        <v>4</v>
      </c>
      <c r="K31" s="14" t="s">
        <v>4</v>
      </c>
      <c r="L31" s="14" t="s">
        <v>4</v>
      </c>
      <c r="M31" s="33"/>
      <c r="N31" s="33"/>
    </row>
    <row r="32" spans="1:14" ht="15.75" thickBot="1" x14ac:dyDescent="0.25">
      <c r="A32" s="16" t="s">
        <v>22</v>
      </c>
      <c r="B32" s="18" t="s">
        <v>23</v>
      </c>
      <c r="C32" s="18" t="s">
        <v>23</v>
      </c>
      <c r="D32" s="1" t="s">
        <v>24</v>
      </c>
      <c r="E32" s="1"/>
      <c r="F32" s="1"/>
      <c r="G32" s="1"/>
      <c r="H32" s="1"/>
      <c r="I32" s="13" t="s">
        <v>11</v>
      </c>
      <c r="J32" s="13" t="s">
        <v>12</v>
      </c>
      <c r="K32" s="13" t="s">
        <v>3</v>
      </c>
      <c r="L32" s="13" t="s">
        <v>39</v>
      </c>
      <c r="M32" s="34"/>
      <c r="N32" s="35"/>
    </row>
    <row r="33" spans="1:16" ht="15.75" thickTop="1" x14ac:dyDescent="0.2">
      <c r="A33" s="3" t="s">
        <v>31</v>
      </c>
      <c r="I33" s="6"/>
      <c r="J33" s="6"/>
      <c r="K33" s="6"/>
      <c r="L33" s="6"/>
      <c r="M33" s="31"/>
      <c r="N33" s="31"/>
    </row>
    <row r="34" spans="1:16" x14ac:dyDescent="0.2">
      <c r="A34" s="7">
        <f>A16</f>
        <v>0</v>
      </c>
      <c r="B34" s="8">
        <f>B16</f>
        <v>0</v>
      </c>
      <c r="C34" s="8">
        <f>C16</f>
        <v>0</v>
      </c>
      <c r="I34" s="6">
        <f>($I$10*B34)/1000</f>
        <v>0</v>
      </c>
      <c r="J34" s="6">
        <f>($J$10*C34)/1000</f>
        <v>0</v>
      </c>
      <c r="K34" s="6">
        <f>($K$10*A34)/1000</f>
        <v>0</v>
      </c>
      <c r="L34" s="6">
        <f>SUM(I34:K34)</f>
        <v>0</v>
      </c>
      <c r="M34" s="26"/>
      <c r="N34" s="25"/>
    </row>
    <row r="35" spans="1:16" x14ac:dyDescent="0.2">
      <c r="A35" s="9">
        <f>SUM(A33:A34)</f>
        <v>0</v>
      </c>
      <c r="B35" s="10">
        <f>SUM(B33:B34)</f>
        <v>0</v>
      </c>
      <c r="C35" s="10">
        <f>SUM(C33:C34)</f>
        <v>0</v>
      </c>
      <c r="D35" t="s">
        <v>32</v>
      </c>
      <c r="I35" s="2">
        <f>SUM(I34:I34)</f>
        <v>0</v>
      </c>
      <c r="J35" s="2">
        <f>SUM(J34:J34)</f>
        <v>0</v>
      </c>
      <c r="K35" s="2">
        <f>SUM(K34:K34)</f>
        <v>0</v>
      </c>
      <c r="L35" s="2">
        <f>SUM(L34:L34)</f>
        <v>0</v>
      </c>
      <c r="M35" s="26"/>
      <c r="N35" s="25"/>
    </row>
    <row r="36" spans="1:16" x14ac:dyDescent="0.2">
      <c r="A36" s="11" t="s">
        <v>33</v>
      </c>
      <c r="B36" s="8"/>
      <c r="C36" s="8"/>
      <c r="I36" s="6"/>
      <c r="J36" s="6"/>
      <c r="K36" s="6"/>
      <c r="L36" s="6"/>
      <c r="M36" s="31"/>
      <c r="N36" s="31"/>
    </row>
    <row r="37" spans="1:16" x14ac:dyDescent="0.2">
      <c r="A37" s="7">
        <f t="shared" ref="A37:C41" si="1">A19</f>
        <v>0.6</v>
      </c>
      <c r="B37" s="8">
        <f t="shared" si="1"/>
        <v>0.54545399999999999</v>
      </c>
      <c r="C37" s="8">
        <f t="shared" si="1"/>
        <v>0.54545399999999999</v>
      </c>
      <c r="D37" t="s">
        <v>34</v>
      </c>
      <c r="I37" s="6">
        <f>($I$10*B37)/1000</f>
        <v>387348.79083264002</v>
      </c>
      <c r="J37" s="6">
        <f>($J$10*C37)/1000</f>
        <v>72978.477930540001</v>
      </c>
      <c r="K37" s="6">
        <f>($K$10*A37)/1000</f>
        <v>46484.514000000003</v>
      </c>
      <c r="L37" s="6">
        <f>SUM(I37:K37)</f>
        <v>506811.78276318003</v>
      </c>
      <c r="M37" s="26"/>
      <c r="N37" s="25"/>
    </row>
    <row r="38" spans="1:16" x14ac:dyDescent="0.2">
      <c r="A38" s="7">
        <f t="shared" si="1"/>
        <v>0.8</v>
      </c>
      <c r="B38" s="8">
        <f t="shared" si="1"/>
        <v>0.72727200000000003</v>
      </c>
      <c r="C38" s="8">
        <f t="shared" si="1"/>
        <v>0.72727200000000003</v>
      </c>
      <c r="D38" t="s">
        <v>34</v>
      </c>
      <c r="I38" s="6">
        <f>($I$10*B38)/1000</f>
        <v>516465.05444352003</v>
      </c>
      <c r="J38" s="6">
        <f>($J$10*C38)/1000</f>
        <v>97304.637240720011</v>
      </c>
      <c r="K38" s="6">
        <f>($K$10*A38)/1000</f>
        <v>61979.351999999999</v>
      </c>
      <c r="L38" s="6">
        <f>SUM(I38:K38)</f>
        <v>675749.04368423996</v>
      </c>
      <c r="M38" s="26"/>
      <c r="N38" s="25"/>
    </row>
    <row r="39" spans="1:16" x14ac:dyDescent="0.2">
      <c r="A39" s="7">
        <f t="shared" si="1"/>
        <v>0.8</v>
      </c>
      <c r="B39" s="8">
        <f t="shared" si="1"/>
        <v>0.72727200000000003</v>
      </c>
      <c r="C39" s="8">
        <f t="shared" si="1"/>
        <v>0.72727200000000003</v>
      </c>
      <c r="D39" t="s">
        <v>34</v>
      </c>
      <c r="I39" s="6">
        <f>($I$10*B39)/1000</f>
        <v>516465.05444352003</v>
      </c>
      <c r="J39" s="6">
        <f>($J$10*C39)/1000</f>
        <v>97304.637240720011</v>
      </c>
      <c r="K39" s="6">
        <f>($K$10*A39)/1000</f>
        <v>61979.351999999999</v>
      </c>
      <c r="L39" s="6">
        <f>SUM(I39:K39)</f>
        <v>675749.04368423996</v>
      </c>
      <c r="M39" s="26"/>
      <c r="N39" s="25"/>
    </row>
    <row r="40" spans="1:16" x14ac:dyDescent="0.2">
      <c r="A40" s="7">
        <f t="shared" si="1"/>
        <v>1</v>
      </c>
      <c r="B40" s="8">
        <f t="shared" si="1"/>
        <v>0.57844200000000001</v>
      </c>
      <c r="C40" s="8">
        <f t="shared" si="1"/>
        <v>0.83618700000000001</v>
      </c>
      <c r="D40" t="s">
        <v>34</v>
      </c>
      <c r="I40" s="6">
        <f>($I$10*B40)/1000</f>
        <v>410774.89443072001</v>
      </c>
      <c r="J40" s="6">
        <f>($J$10*C40)/1000</f>
        <v>111876.81183987</v>
      </c>
      <c r="K40" s="6">
        <f>($K$10*A40)/1000</f>
        <v>77474.19</v>
      </c>
      <c r="L40" s="6">
        <f>SUM(I40:K40)</f>
        <v>600125.89627059002</v>
      </c>
      <c r="M40" s="26"/>
      <c r="N40" s="25"/>
    </row>
    <row r="41" spans="1:16" hidden="1" x14ac:dyDescent="0.2">
      <c r="A41" s="7">
        <f t="shared" si="1"/>
        <v>0</v>
      </c>
      <c r="B41" s="8">
        <f t="shared" si="1"/>
        <v>0</v>
      </c>
      <c r="C41" s="8">
        <f t="shared" si="1"/>
        <v>0</v>
      </c>
      <c r="D41" s="42" t="s">
        <v>55</v>
      </c>
      <c r="E41" s="43"/>
      <c r="F41" s="43"/>
      <c r="I41" s="6">
        <f>($I$10*B41)/1000</f>
        <v>0</v>
      </c>
      <c r="J41" s="6">
        <f>($J$10*C41)/1000</f>
        <v>0</v>
      </c>
      <c r="K41" s="6">
        <f>($K$10*A41)/1000</f>
        <v>0</v>
      </c>
      <c r="L41" s="6">
        <f>SUM(I41:K41)</f>
        <v>0</v>
      </c>
      <c r="M41" s="31"/>
      <c r="N41" s="25"/>
    </row>
    <row r="42" spans="1:16" x14ac:dyDescent="0.2">
      <c r="A42" s="9">
        <f>SUM(A37:A41)</f>
        <v>3.2</v>
      </c>
      <c r="B42" s="10">
        <f>SUM(B37:B41)</f>
        <v>2.5784400000000001</v>
      </c>
      <c r="C42" s="10">
        <f>SUM(C37:C41)</f>
        <v>2.8361850000000004</v>
      </c>
      <c r="D42" t="s">
        <v>38</v>
      </c>
      <c r="I42" s="2">
        <f>SUM(I37:I41)</f>
        <v>1831053.7941504002</v>
      </c>
      <c r="J42" s="2">
        <f>SUM(J37:J41)</f>
        <v>379464.56425185007</v>
      </c>
      <c r="K42" s="2">
        <f>SUM(K37:K41)</f>
        <v>247917.408</v>
      </c>
      <c r="L42" s="2">
        <f>SUM(L37:L41)</f>
        <v>2458435.7664022502</v>
      </c>
      <c r="M42" s="26"/>
      <c r="N42" s="25"/>
    </row>
    <row r="43" spans="1:16" ht="15.75" thickBot="1" x14ac:dyDescent="0.25">
      <c r="A43" s="7"/>
      <c r="B43" s="8"/>
      <c r="C43" s="8"/>
      <c r="I43" s="6"/>
      <c r="J43" s="6"/>
      <c r="K43" s="6"/>
      <c r="L43" s="6"/>
      <c r="M43" s="31"/>
      <c r="N43" s="31"/>
    </row>
    <row r="44" spans="1:16" ht="16.5" thickTop="1" x14ac:dyDescent="0.25">
      <c r="A44" s="71">
        <f>(+A35+A42)</f>
        <v>3.2</v>
      </c>
      <c r="B44" s="72">
        <f>(+B35+B42)</f>
        <v>2.5784400000000001</v>
      </c>
      <c r="C44" s="72">
        <f>(+C35+C42)</f>
        <v>2.8361850000000004</v>
      </c>
      <c r="D44" t="s">
        <v>45</v>
      </c>
      <c r="I44" s="12">
        <f>(+I35+I42)</f>
        <v>1831053.7941504002</v>
      </c>
      <c r="J44" s="12">
        <f>(+J35+J42)</f>
        <v>379464.56425185007</v>
      </c>
      <c r="K44" s="12">
        <f>(+K35+K42)</f>
        <v>247917.408</v>
      </c>
      <c r="L44" s="12">
        <f>(+L35+L42)</f>
        <v>2458435.7664022502</v>
      </c>
      <c r="M44" s="36"/>
      <c r="N44" s="36"/>
    </row>
    <row r="45" spans="1:16" x14ac:dyDescent="0.2">
      <c r="I45" s="6"/>
      <c r="J45" s="6"/>
      <c r="K45" s="6"/>
      <c r="L45" s="6"/>
    </row>
    <row r="46" spans="1:16" x14ac:dyDescent="0.2">
      <c r="F46" s="37"/>
      <c r="G46" s="37"/>
      <c r="H46" s="55"/>
      <c r="I46" s="69"/>
      <c r="J46" s="56"/>
      <c r="K46" s="53"/>
      <c r="L46" s="53"/>
      <c r="M46" s="53"/>
      <c r="N46" s="53"/>
      <c r="O46" s="67"/>
      <c r="P46" s="68"/>
    </row>
    <row r="47" spans="1:16" x14ac:dyDescent="0.2">
      <c r="F47" s="38"/>
      <c r="G47" s="38"/>
      <c r="H47" s="57"/>
      <c r="I47" s="70"/>
      <c r="J47" s="59"/>
      <c r="K47" s="60"/>
      <c r="L47" s="60"/>
      <c r="M47" s="64"/>
      <c r="N47" s="64"/>
      <c r="O47" s="62"/>
      <c r="P47" s="62"/>
    </row>
    <row r="48" spans="1:16" ht="15.75" x14ac:dyDescent="0.25">
      <c r="D48" s="24" t="s">
        <v>95</v>
      </c>
      <c r="F48" s="38"/>
      <c r="G48" s="38"/>
      <c r="H48" s="57"/>
      <c r="I48" s="58"/>
      <c r="J48" s="59"/>
      <c r="K48" s="60"/>
      <c r="L48" s="60"/>
      <c r="M48" s="62"/>
      <c r="N48" s="62"/>
      <c r="O48" s="62"/>
      <c r="P48" s="62"/>
    </row>
    <row r="49" spans="6:16" x14ac:dyDescent="0.2">
      <c r="F49" s="38"/>
      <c r="G49" s="38"/>
      <c r="H49" s="57"/>
      <c r="I49" s="58"/>
      <c r="J49" s="59"/>
      <c r="K49" s="60"/>
      <c r="L49" s="60"/>
      <c r="M49" s="62"/>
      <c r="N49" s="62"/>
      <c r="O49" s="62"/>
      <c r="P49" s="62"/>
    </row>
    <row r="50" spans="6:16" x14ac:dyDescent="0.2">
      <c r="F50" s="38"/>
      <c r="G50" s="38"/>
      <c r="H50" s="57"/>
      <c r="I50" s="58"/>
      <c r="J50" s="59"/>
      <c r="K50" s="60"/>
      <c r="L50" s="60"/>
      <c r="M50" s="64"/>
      <c r="N50" s="64"/>
      <c r="O50" s="62"/>
      <c r="P50" s="62"/>
    </row>
    <row r="51" spans="6:16" x14ac:dyDescent="0.2">
      <c r="F51" s="38"/>
      <c r="G51" s="38"/>
      <c r="H51" s="57"/>
      <c r="I51" s="58"/>
      <c r="J51" s="59"/>
      <c r="K51" s="60"/>
      <c r="L51" s="60"/>
      <c r="M51" s="64"/>
      <c r="N51" s="64"/>
      <c r="O51" s="62"/>
      <c r="P51" s="62"/>
    </row>
    <row r="52" spans="6:16" x14ac:dyDescent="0.2">
      <c r="F52" s="38"/>
      <c r="G52" s="38"/>
      <c r="H52" s="57"/>
      <c r="I52" s="58"/>
      <c r="J52" s="59"/>
      <c r="K52" s="60"/>
      <c r="L52" s="60"/>
      <c r="M52" s="64"/>
      <c r="N52" s="64"/>
      <c r="O52" s="62"/>
      <c r="P52" s="62"/>
    </row>
    <row r="53" spans="6:16" x14ac:dyDescent="0.2">
      <c r="F53" s="38"/>
      <c r="G53" s="38"/>
      <c r="H53" s="57"/>
      <c r="I53" s="58"/>
      <c r="J53" s="59"/>
      <c r="K53" s="60"/>
      <c r="L53" s="60"/>
      <c r="M53" s="64"/>
      <c r="N53" s="64"/>
      <c r="O53" s="62"/>
      <c r="P53" s="62"/>
    </row>
    <row r="54" spans="6:16" x14ac:dyDescent="0.2">
      <c r="F54" s="27"/>
      <c r="G54" s="27"/>
      <c r="H54" s="61"/>
      <c r="I54" s="63"/>
      <c r="J54" s="63"/>
      <c r="K54" s="61"/>
      <c r="L54" s="64"/>
      <c r="M54" s="64"/>
      <c r="N54" s="64"/>
      <c r="O54" s="54"/>
      <c r="P54" s="54"/>
    </row>
    <row r="55" spans="6:16" x14ac:dyDescent="0.2">
      <c r="H55" s="54"/>
      <c r="I55" s="54"/>
      <c r="J55" s="54"/>
      <c r="K55" s="54"/>
      <c r="L55" s="66"/>
      <c r="M55" s="66"/>
      <c r="N55" s="66"/>
      <c r="O55" s="54"/>
      <c r="P55" s="54"/>
    </row>
    <row r="56" spans="6:16" x14ac:dyDescent="0.2">
      <c r="H56" s="54"/>
      <c r="I56" s="65"/>
      <c r="J56" s="54"/>
      <c r="K56" s="54"/>
      <c r="L56" s="66"/>
      <c r="M56" s="62"/>
      <c r="N56" s="62"/>
      <c r="O56" s="54"/>
      <c r="P56" s="54"/>
    </row>
    <row r="57" spans="6:16" x14ac:dyDescent="0.2">
      <c r="H57" s="54"/>
      <c r="I57" s="54"/>
      <c r="J57" s="54"/>
      <c r="K57" s="54"/>
      <c r="L57" s="54"/>
      <c r="M57" s="54"/>
      <c r="N57" s="54"/>
      <c r="O57" s="54"/>
      <c r="P57" s="54"/>
    </row>
    <row r="59" spans="6:16" x14ac:dyDescent="0.2">
      <c r="I59" s="31"/>
    </row>
    <row r="60" spans="6:16" x14ac:dyDescent="0.2">
      <c r="I60" s="31"/>
    </row>
    <row r="61" spans="6:16" x14ac:dyDescent="0.2">
      <c r="I61" s="31"/>
    </row>
    <row r="62" spans="6:16" ht="15.75" x14ac:dyDescent="0.25">
      <c r="I62" s="80"/>
    </row>
  </sheetData>
  <mergeCells count="1">
    <mergeCell ref="K2:N3"/>
  </mergeCells>
  <pageMargins left="0.7" right="0.7" top="0.75" bottom="0.75" header="0.3" footer="0.3"/>
  <pageSetup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P54"/>
  <sheetViews>
    <sheetView tabSelected="1" workbookViewId="0">
      <selection activeCell="G34" sqref="G34"/>
    </sheetView>
  </sheetViews>
  <sheetFormatPr defaultColWidth="13.21875" defaultRowHeight="15" x14ac:dyDescent="0.2"/>
  <cols>
    <col min="1" max="1" width="12.77734375" customWidth="1"/>
    <col min="2" max="10" width="12.21875" customWidth="1"/>
    <col min="11" max="11" width="13.77734375" customWidth="1"/>
    <col min="12" max="12" width="12.21875" customWidth="1"/>
    <col min="13" max="13" width="16.21875" customWidth="1"/>
    <col min="14" max="14" width="14.5546875" bestFit="1" customWidth="1"/>
  </cols>
  <sheetData>
    <row r="2" spans="1:14" ht="18" customHeight="1" x14ac:dyDescent="0.25">
      <c r="A2" s="74" t="s">
        <v>93</v>
      </c>
      <c r="B2" s="47"/>
      <c r="C2" s="47"/>
      <c r="D2" s="47"/>
      <c r="K2" s="119"/>
      <c r="L2" s="119"/>
      <c r="M2" s="119"/>
      <c r="N2" s="119"/>
    </row>
    <row r="3" spans="1:14" ht="15.75" customHeight="1" x14ac:dyDescent="0.25">
      <c r="A3" s="47"/>
      <c r="B3" s="47"/>
      <c r="C3" s="47"/>
      <c r="D3" s="47"/>
      <c r="F3" s="24" t="str">
        <f>'Danbury LSD'!$F$3</f>
        <v>TAX YEAR:     2024</v>
      </c>
      <c r="H3" s="24" t="str">
        <f>'Danbury LSD'!$H$3</f>
        <v>COLLECTION YEAR:     2025</v>
      </c>
      <c r="J3" s="30"/>
      <c r="K3" s="119"/>
      <c r="L3" s="119"/>
      <c r="M3" s="119"/>
      <c r="N3" s="119"/>
    </row>
    <row r="4" spans="1:14" x14ac:dyDescent="0.2">
      <c r="A4" s="47"/>
      <c r="B4" s="47"/>
      <c r="C4" s="47"/>
      <c r="D4" s="47"/>
      <c r="H4" s="5"/>
    </row>
    <row r="5" spans="1:14" ht="15.75" x14ac:dyDescent="0.25">
      <c r="A5" s="24" t="s">
        <v>0</v>
      </c>
      <c r="B5" s="73" t="str">
        <f>'Danbury LSD'!$B$5</f>
        <v>January 1, 2024</v>
      </c>
      <c r="H5" s="14" t="s">
        <v>1</v>
      </c>
      <c r="L5" s="14" t="s">
        <v>2</v>
      </c>
    </row>
    <row r="6" spans="1:14" x14ac:dyDescent="0.2">
      <c r="F6" s="19" t="s">
        <v>50</v>
      </c>
      <c r="G6" s="4"/>
      <c r="H6" s="14" t="s">
        <v>3</v>
      </c>
      <c r="I6" s="14" t="s">
        <v>4</v>
      </c>
      <c r="J6" s="14" t="s">
        <v>4</v>
      </c>
      <c r="K6" s="14" t="s">
        <v>4</v>
      </c>
      <c r="L6" s="14" t="s">
        <v>4</v>
      </c>
    </row>
    <row r="7" spans="1:14" ht="15.75" thickBot="1" x14ac:dyDescent="0.25">
      <c r="A7" s="20" t="s">
        <v>52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3</v>
      </c>
      <c r="H7" s="13" t="s">
        <v>10</v>
      </c>
      <c r="I7" s="13" t="s">
        <v>11</v>
      </c>
      <c r="J7" s="13" t="s">
        <v>12</v>
      </c>
      <c r="K7" s="13" t="s">
        <v>3</v>
      </c>
      <c r="L7" s="13" t="s">
        <v>13</v>
      </c>
    </row>
    <row r="8" spans="1:14" ht="15.75" thickTop="1" x14ac:dyDescent="0.2">
      <c r="A8" s="48">
        <f>'PC CSD'!A8</f>
        <v>22954590</v>
      </c>
      <c r="B8" s="48">
        <v>0</v>
      </c>
      <c r="C8" s="48">
        <f>'PC CSD'!C8</f>
        <v>5928970</v>
      </c>
      <c r="D8" s="48">
        <f>'PC CSD'!D8</f>
        <v>124912110</v>
      </c>
      <c r="E8" s="48">
        <f>'PC CSD'!E8</f>
        <v>956205610</v>
      </c>
      <c r="F8" s="48">
        <f>'PC CSD'!F8</f>
        <v>162520</v>
      </c>
      <c r="G8" s="48">
        <f>'PC CSD'!G8</f>
        <v>44138420</v>
      </c>
      <c r="H8" s="6"/>
      <c r="I8" s="6">
        <f>A8+E8</f>
        <v>979160200</v>
      </c>
      <c r="J8" s="6">
        <f>B8+C8+D8+F8</f>
        <v>131003600</v>
      </c>
      <c r="K8" s="6">
        <f>G8</f>
        <v>44138420</v>
      </c>
      <c r="L8" s="6">
        <f>I8+J8+K8</f>
        <v>1154302220</v>
      </c>
      <c r="M8" s="47" t="s">
        <v>90</v>
      </c>
    </row>
    <row r="9" spans="1:14" x14ac:dyDescent="0.2">
      <c r="A9" s="6">
        <v>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f>E9+A9</f>
        <v>0</v>
      </c>
      <c r="J9" s="6">
        <f>D9+B9+C9+F9</f>
        <v>0</v>
      </c>
      <c r="K9" s="6">
        <f>G9+H9</f>
        <v>0</v>
      </c>
      <c r="L9" s="77">
        <f>I9+J9+K9</f>
        <v>0</v>
      </c>
      <c r="M9" s="47"/>
      <c r="N9" s="6"/>
    </row>
    <row r="10" spans="1:14" x14ac:dyDescent="0.2">
      <c r="A10" s="2">
        <f t="shared" ref="A10:L10" si="0">SUM(A8:A9)</f>
        <v>22954590</v>
      </c>
      <c r="B10" s="2">
        <f t="shared" si="0"/>
        <v>0</v>
      </c>
      <c r="C10" s="2">
        <f t="shared" si="0"/>
        <v>5928970</v>
      </c>
      <c r="D10" s="2">
        <f t="shared" si="0"/>
        <v>124912110</v>
      </c>
      <c r="E10" s="2">
        <f t="shared" si="0"/>
        <v>956205610</v>
      </c>
      <c r="F10" s="2">
        <f t="shared" si="0"/>
        <v>162520</v>
      </c>
      <c r="G10" s="2">
        <f t="shared" si="0"/>
        <v>44138420</v>
      </c>
      <c r="H10" s="2">
        <f t="shared" si="0"/>
        <v>0</v>
      </c>
      <c r="I10" s="2">
        <f t="shared" si="0"/>
        <v>979160200</v>
      </c>
      <c r="J10" s="2">
        <f t="shared" si="0"/>
        <v>131003600</v>
      </c>
      <c r="K10" s="2">
        <f t="shared" si="0"/>
        <v>44138420</v>
      </c>
      <c r="L10" s="2">
        <f t="shared" si="0"/>
        <v>1154302220</v>
      </c>
    </row>
    <row r="11" spans="1:14" x14ac:dyDescent="0.2">
      <c r="A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x14ac:dyDescent="0.2">
      <c r="A12" s="14" t="s">
        <v>14</v>
      </c>
      <c r="B12" s="14" t="s">
        <v>15</v>
      </c>
      <c r="C12" s="14" t="s">
        <v>12</v>
      </c>
    </row>
    <row r="13" spans="1:14" x14ac:dyDescent="0.2">
      <c r="A13" s="14" t="s">
        <v>16</v>
      </c>
      <c r="B13" s="14" t="s">
        <v>17</v>
      </c>
      <c r="C13" s="14" t="s">
        <v>17</v>
      </c>
      <c r="H13" s="14" t="s">
        <v>18</v>
      </c>
      <c r="I13" s="14" t="s">
        <v>19</v>
      </c>
      <c r="J13" s="14" t="s">
        <v>20</v>
      </c>
      <c r="K13" s="14" t="s">
        <v>21</v>
      </c>
      <c r="L13" s="14" t="s">
        <v>20</v>
      </c>
    </row>
    <row r="14" spans="1:14" ht="15.75" thickBot="1" x14ac:dyDescent="0.25">
      <c r="A14" s="13" t="s">
        <v>22</v>
      </c>
      <c r="B14" s="13" t="s">
        <v>23</v>
      </c>
      <c r="C14" s="13" t="s">
        <v>23</v>
      </c>
      <c r="D14" s="1" t="s">
        <v>24</v>
      </c>
      <c r="E14" s="1"/>
      <c r="F14" s="1"/>
      <c r="G14" s="13" t="s">
        <v>25</v>
      </c>
      <c r="H14" s="13" t="s">
        <v>26</v>
      </c>
      <c r="I14" s="13" t="s">
        <v>27</v>
      </c>
      <c r="J14" s="13" t="s">
        <v>28</v>
      </c>
      <c r="K14" s="13" t="s">
        <v>29</v>
      </c>
      <c r="L14" s="13" t="s">
        <v>30</v>
      </c>
    </row>
    <row r="15" spans="1:14" ht="15.75" thickTop="1" x14ac:dyDescent="0.2">
      <c r="A15" s="3" t="s">
        <v>31</v>
      </c>
    </row>
    <row r="16" spans="1:14" x14ac:dyDescent="0.2">
      <c r="A16" s="7">
        <v>0</v>
      </c>
      <c r="B16" s="8">
        <v>0</v>
      </c>
      <c r="C16" s="8">
        <v>0</v>
      </c>
    </row>
    <row r="17" spans="1:14" x14ac:dyDescent="0.2">
      <c r="A17" s="9">
        <f>SUM(A15:A16)</f>
        <v>0</v>
      </c>
      <c r="B17" s="10">
        <f>SUM(B15:B16)</f>
        <v>0</v>
      </c>
      <c r="C17" s="10">
        <f>SUM(C15:C16)</f>
        <v>0</v>
      </c>
      <c r="D17" t="s">
        <v>32</v>
      </c>
    </row>
    <row r="18" spans="1:14" x14ac:dyDescent="0.2">
      <c r="A18" s="11" t="s">
        <v>33</v>
      </c>
      <c r="B18" s="8"/>
      <c r="C18" s="8"/>
    </row>
    <row r="19" spans="1:14" x14ac:dyDescent="0.2">
      <c r="A19" s="7">
        <v>1.6</v>
      </c>
      <c r="B19" s="8">
        <v>1.6</v>
      </c>
      <c r="C19" s="8">
        <v>1.6</v>
      </c>
      <c r="D19" t="s">
        <v>34</v>
      </c>
      <c r="G19" s="14" t="s">
        <v>35</v>
      </c>
      <c r="H19" s="14" t="s">
        <v>36</v>
      </c>
      <c r="I19" s="14" t="s">
        <v>62</v>
      </c>
      <c r="J19" s="14" t="s">
        <v>36</v>
      </c>
      <c r="K19" s="14" t="s">
        <v>37</v>
      </c>
      <c r="L19" s="14" t="s">
        <v>37</v>
      </c>
    </row>
    <row r="20" spans="1:14" x14ac:dyDescent="0.2">
      <c r="A20" s="9">
        <f>SUM(A19:A19)</f>
        <v>1.6</v>
      </c>
      <c r="B20" s="10">
        <f>SUM(B19:B19)</f>
        <v>1.6</v>
      </c>
      <c r="C20" s="10">
        <f>SUM(C19:C19)</f>
        <v>1.6</v>
      </c>
      <c r="D20" t="s">
        <v>38</v>
      </c>
    </row>
    <row r="21" spans="1:14" ht="15.75" thickBot="1" x14ac:dyDescent="0.25">
      <c r="A21" s="7"/>
      <c r="B21" s="8"/>
      <c r="C21" s="8"/>
    </row>
    <row r="22" spans="1:14" ht="16.5" thickTop="1" x14ac:dyDescent="0.25">
      <c r="A22" s="71">
        <f>(+A17+A20)</f>
        <v>1.6</v>
      </c>
      <c r="B22" s="72">
        <f>(+B17+B20)</f>
        <v>1.6</v>
      </c>
      <c r="C22" s="72">
        <f>(+C17+C20)</f>
        <v>1.6</v>
      </c>
      <c r="D22" t="s">
        <v>45</v>
      </c>
    </row>
    <row r="25" spans="1:14" x14ac:dyDescent="0.2">
      <c r="A25" s="7"/>
      <c r="B25" s="8"/>
      <c r="C25" s="8"/>
    </row>
    <row r="26" spans="1:14" x14ac:dyDescent="0.2">
      <c r="A26" s="15" t="s">
        <v>14</v>
      </c>
      <c r="B26" s="17" t="s">
        <v>15</v>
      </c>
      <c r="C26" s="17" t="s">
        <v>12</v>
      </c>
      <c r="I26" s="19" t="s">
        <v>51</v>
      </c>
      <c r="J26" s="4"/>
      <c r="K26" s="4"/>
      <c r="L26" s="4"/>
      <c r="M26" s="54"/>
      <c r="N26" s="31"/>
    </row>
    <row r="27" spans="1:14" x14ac:dyDescent="0.2">
      <c r="A27" s="15" t="s">
        <v>16</v>
      </c>
      <c r="B27" s="17" t="s">
        <v>17</v>
      </c>
      <c r="C27" s="17" t="s">
        <v>17</v>
      </c>
      <c r="I27" s="14" t="s">
        <v>4</v>
      </c>
      <c r="J27" s="14" t="s">
        <v>4</v>
      </c>
      <c r="K27" s="14" t="s">
        <v>4</v>
      </c>
      <c r="L27" s="14" t="s">
        <v>4</v>
      </c>
      <c r="M27" s="33"/>
      <c r="N27" s="33"/>
    </row>
    <row r="28" spans="1:14" ht="15.75" thickBot="1" x14ac:dyDescent="0.25">
      <c r="A28" s="16" t="s">
        <v>22</v>
      </c>
      <c r="B28" s="18" t="s">
        <v>23</v>
      </c>
      <c r="C28" s="18" t="s">
        <v>23</v>
      </c>
      <c r="D28" s="1" t="s">
        <v>24</v>
      </c>
      <c r="E28" s="1"/>
      <c r="F28" s="1"/>
      <c r="G28" s="1"/>
      <c r="H28" s="1"/>
      <c r="I28" s="13" t="s">
        <v>11</v>
      </c>
      <c r="J28" s="13" t="s">
        <v>12</v>
      </c>
      <c r="K28" s="13" t="s">
        <v>3</v>
      </c>
      <c r="L28" s="13" t="s">
        <v>39</v>
      </c>
      <c r="M28" s="34"/>
      <c r="N28" s="35"/>
    </row>
    <row r="29" spans="1:14" ht="15.75" thickTop="1" x14ac:dyDescent="0.2">
      <c r="A29" s="3" t="s">
        <v>31</v>
      </c>
      <c r="I29" s="6"/>
      <c r="J29" s="6"/>
      <c r="K29" s="6"/>
      <c r="L29" s="6"/>
      <c r="M29" s="31"/>
      <c r="N29" s="31"/>
    </row>
    <row r="30" spans="1:14" x14ac:dyDescent="0.2">
      <c r="A30" s="7">
        <v>0</v>
      </c>
      <c r="B30" s="8">
        <f>B16</f>
        <v>0</v>
      </c>
      <c r="C30" s="8">
        <f>C16</f>
        <v>0</v>
      </c>
      <c r="I30" s="6">
        <f>($I$10*B30)/1000</f>
        <v>0</v>
      </c>
      <c r="J30" s="6">
        <f>($J$10*C30)/1000</f>
        <v>0</v>
      </c>
      <c r="K30" s="6">
        <f>($K$10*A30)/1000</f>
        <v>0</v>
      </c>
      <c r="L30" s="6">
        <f>SUM(I30:K30)</f>
        <v>0</v>
      </c>
      <c r="M30" s="26"/>
      <c r="N30" s="25"/>
    </row>
    <row r="31" spans="1:14" x14ac:dyDescent="0.2">
      <c r="A31" s="9">
        <f>SUM(A29:A30)</f>
        <v>0</v>
      </c>
      <c r="B31" s="10">
        <f>SUM(B29:B30)</f>
        <v>0</v>
      </c>
      <c r="C31" s="10">
        <f>SUM(C29:C30)</f>
        <v>0</v>
      </c>
      <c r="D31" t="s">
        <v>32</v>
      </c>
      <c r="I31" s="2">
        <f>SUM(I30:I30)</f>
        <v>0</v>
      </c>
      <c r="J31" s="2">
        <f>SUM(J30:J30)</f>
        <v>0</v>
      </c>
      <c r="K31" s="2">
        <f>SUM(K30:K30)</f>
        <v>0</v>
      </c>
      <c r="L31" s="2">
        <f>SUM(L30:L30)</f>
        <v>0</v>
      </c>
      <c r="M31" s="26"/>
      <c r="N31" s="25"/>
    </row>
    <row r="32" spans="1:14" x14ac:dyDescent="0.2">
      <c r="A32" s="11" t="s">
        <v>33</v>
      </c>
      <c r="B32" s="8"/>
      <c r="C32" s="8"/>
      <c r="I32" s="6"/>
      <c r="J32" s="6"/>
      <c r="K32" s="6"/>
      <c r="L32" s="6"/>
      <c r="M32" s="31"/>
      <c r="N32" s="31"/>
    </row>
    <row r="33" spans="1:16" x14ac:dyDescent="0.2">
      <c r="A33" s="7">
        <f>A19</f>
        <v>1.6</v>
      </c>
      <c r="B33" s="8">
        <f>B19</f>
        <v>1.6</v>
      </c>
      <c r="C33" s="8">
        <f>C19</f>
        <v>1.6</v>
      </c>
      <c r="D33" t="s">
        <v>34</v>
      </c>
      <c r="I33" s="6">
        <f>($I$10*B33)/1000</f>
        <v>1566656.32</v>
      </c>
      <c r="J33" s="6">
        <f>($J$10*C33)/1000</f>
        <v>209605.76000000001</v>
      </c>
      <c r="K33" s="6">
        <f>($K$10*A33)/1000</f>
        <v>70621.471999999994</v>
      </c>
      <c r="L33" s="6">
        <f>SUM(I33:K33)</f>
        <v>1846883.5520000001</v>
      </c>
      <c r="M33" s="26"/>
      <c r="N33" s="25"/>
    </row>
    <row r="34" spans="1:16" x14ac:dyDescent="0.2">
      <c r="A34" s="9">
        <f>SUM(A33:A33)</f>
        <v>1.6</v>
      </c>
      <c r="B34" s="10">
        <f>SUM(B33:B33)</f>
        <v>1.6</v>
      </c>
      <c r="C34" s="10">
        <f>SUM(C33:C33)</f>
        <v>1.6</v>
      </c>
      <c r="D34" t="s">
        <v>38</v>
      </c>
      <c r="I34" s="2">
        <f>SUM(I33:I33)</f>
        <v>1566656.32</v>
      </c>
      <c r="J34" s="2">
        <f>SUM(J33:J33)</f>
        <v>209605.76000000001</v>
      </c>
      <c r="K34" s="2">
        <f>SUM(K33:K33)</f>
        <v>70621.471999999994</v>
      </c>
      <c r="L34" s="2">
        <f>SUM(L33:L33)</f>
        <v>1846883.5520000001</v>
      </c>
      <c r="M34" s="26"/>
      <c r="N34" s="25"/>
    </row>
    <row r="35" spans="1:16" ht="15.75" thickBot="1" x14ac:dyDescent="0.25">
      <c r="A35" s="7"/>
      <c r="B35" s="8"/>
      <c r="C35" s="8"/>
      <c r="I35" s="6"/>
      <c r="J35" s="6"/>
      <c r="K35" s="6"/>
      <c r="L35" s="6"/>
      <c r="M35" s="31"/>
      <c r="N35" s="31"/>
    </row>
    <row r="36" spans="1:16" ht="16.5" thickTop="1" x14ac:dyDescent="0.25">
      <c r="A36" s="71">
        <f>(+A31+A34)</f>
        <v>1.6</v>
      </c>
      <c r="B36" s="72">
        <f>(+B31+B34)</f>
        <v>1.6</v>
      </c>
      <c r="C36" s="72">
        <f>(+C31+C34)</f>
        <v>1.6</v>
      </c>
      <c r="D36" t="s">
        <v>45</v>
      </c>
      <c r="I36" s="12">
        <f>(+I31+I34)</f>
        <v>1566656.32</v>
      </c>
      <c r="J36" s="12">
        <f>(+J31+J34)</f>
        <v>209605.76000000001</v>
      </c>
      <c r="K36" s="12">
        <f>(+K31+K34)</f>
        <v>70621.471999999994</v>
      </c>
      <c r="L36" s="12">
        <f>(+L31+L34)</f>
        <v>1846883.5520000001</v>
      </c>
      <c r="M36" s="36"/>
      <c r="N36" s="36"/>
    </row>
    <row r="37" spans="1:16" x14ac:dyDescent="0.2">
      <c r="I37" s="6"/>
      <c r="J37" s="6"/>
      <c r="K37" s="6"/>
      <c r="L37" s="6"/>
    </row>
    <row r="38" spans="1:16" x14ac:dyDescent="0.2">
      <c r="F38" s="37"/>
      <c r="G38" s="37"/>
      <c r="H38" s="55"/>
      <c r="I38" s="69"/>
      <c r="J38" s="56"/>
      <c r="K38" s="53"/>
      <c r="L38" s="53"/>
      <c r="M38" s="53"/>
      <c r="N38" s="53"/>
      <c r="O38" s="67"/>
      <c r="P38" s="68"/>
    </row>
    <row r="39" spans="1:16" x14ac:dyDescent="0.2">
      <c r="F39" s="38"/>
      <c r="G39" s="38"/>
      <c r="H39" s="57"/>
      <c r="I39" s="70"/>
      <c r="J39" s="59"/>
      <c r="K39" s="60"/>
      <c r="L39" s="60"/>
      <c r="M39" s="64"/>
      <c r="N39" s="64"/>
      <c r="O39" s="62"/>
      <c r="P39" s="62"/>
    </row>
    <row r="40" spans="1:16" x14ac:dyDescent="0.2">
      <c r="F40" s="38"/>
      <c r="G40" s="38"/>
      <c r="H40" s="57"/>
      <c r="I40" s="58"/>
      <c r="J40" s="59"/>
      <c r="K40" s="60"/>
      <c r="L40" s="60"/>
      <c r="M40" s="62"/>
      <c r="N40" s="62"/>
      <c r="O40" s="62"/>
      <c r="P40" s="62"/>
    </row>
    <row r="41" spans="1:16" ht="15.75" x14ac:dyDescent="0.25">
      <c r="D41" s="24" t="s">
        <v>95</v>
      </c>
      <c r="F41" s="38"/>
      <c r="G41" s="38"/>
      <c r="H41" s="57"/>
      <c r="I41" s="58"/>
      <c r="J41" s="59"/>
      <c r="K41" s="60"/>
      <c r="L41" s="60"/>
      <c r="M41" s="62"/>
      <c r="N41" s="62"/>
      <c r="O41" s="62"/>
      <c r="P41" s="62"/>
    </row>
    <row r="42" spans="1:16" x14ac:dyDescent="0.2">
      <c r="F42" s="38"/>
      <c r="G42" s="38"/>
      <c r="H42" s="57"/>
      <c r="I42" s="58"/>
      <c r="J42" s="59"/>
      <c r="K42" s="60"/>
      <c r="L42" s="60"/>
      <c r="M42" s="64"/>
      <c r="N42" s="64"/>
      <c r="O42" s="62"/>
      <c r="P42" s="62"/>
    </row>
    <row r="43" spans="1:16" x14ac:dyDescent="0.2">
      <c r="F43" s="38"/>
      <c r="G43" s="38"/>
      <c r="H43" s="57"/>
      <c r="I43" s="58"/>
      <c r="J43" s="59"/>
      <c r="K43" s="60"/>
      <c r="L43" s="60"/>
      <c r="M43" s="64"/>
      <c r="N43" s="64"/>
      <c r="O43" s="62"/>
      <c r="P43" s="62"/>
    </row>
    <row r="44" spans="1:16" x14ac:dyDescent="0.2">
      <c r="F44" s="38"/>
      <c r="G44" s="38"/>
      <c r="H44" s="57"/>
      <c r="I44" s="58"/>
      <c r="J44" s="59"/>
      <c r="K44" s="60"/>
      <c r="L44" s="60"/>
      <c r="M44" s="64"/>
      <c r="N44" s="64"/>
      <c r="O44" s="62"/>
      <c r="P44" s="62"/>
    </row>
    <row r="45" spans="1:16" x14ac:dyDescent="0.2">
      <c r="F45" s="38"/>
      <c r="G45" s="38"/>
      <c r="H45" s="57"/>
      <c r="I45" s="58"/>
      <c r="J45" s="59"/>
      <c r="K45" s="60"/>
      <c r="L45" s="60"/>
      <c r="M45" s="64"/>
      <c r="N45" s="64"/>
      <c r="O45" s="62"/>
      <c r="P45" s="62"/>
    </row>
    <row r="46" spans="1:16" x14ac:dyDescent="0.2">
      <c r="F46" s="27"/>
      <c r="G46" s="27"/>
      <c r="H46" s="61"/>
      <c r="I46" s="63"/>
      <c r="J46" s="63"/>
      <c r="K46" s="61"/>
      <c r="L46" s="64"/>
      <c r="M46" s="64"/>
      <c r="N46" s="64"/>
      <c r="O46" s="54"/>
      <c r="P46" s="54"/>
    </row>
    <row r="47" spans="1:16" x14ac:dyDescent="0.2">
      <c r="H47" s="54"/>
      <c r="I47" s="54"/>
      <c r="J47" s="54"/>
      <c r="K47" s="54"/>
      <c r="L47" s="66"/>
      <c r="M47" s="66"/>
      <c r="N47" s="66"/>
      <c r="O47" s="54"/>
      <c r="P47" s="54"/>
    </row>
    <row r="48" spans="1:16" x14ac:dyDescent="0.2">
      <c r="H48" s="54"/>
      <c r="I48" s="65"/>
      <c r="J48" s="54"/>
      <c r="K48" s="54"/>
      <c r="L48" s="66"/>
      <c r="M48" s="62"/>
      <c r="N48" s="62"/>
      <c r="O48" s="54"/>
      <c r="P48" s="54"/>
    </row>
    <row r="49" spans="8:16" x14ac:dyDescent="0.2">
      <c r="H49" s="54"/>
      <c r="I49" s="54"/>
      <c r="J49" s="54"/>
      <c r="K49" s="54"/>
      <c r="L49" s="54"/>
      <c r="M49" s="54"/>
      <c r="N49" s="54"/>
      <c r="O49" s="54"/>
      <c r="P49" s="54"/>
    </row>
    <row r="51" spans="8:16" x14ac:dyDescent="0.2">
      <c r="I51" s="31"/>
    </row>
    <row r="52" spans="8:16" x14ac:dyDescent="0.2">
      <c r="I52" s="31"/>
    </row>
    <row r="53" spans="8:16" x14ac:dyDescent="0.2">
      <c r="I53" s="31"/>
    </row>
    <row r="54" spans="8:16" ht="15.75" x14ac:dyDescent="0.25">
      <c r="I54" s="32"/>
    </row>
  </sheetData>
  <mergeCells count="1">
    <mergeCell ref="K2:N3"/>
  </mergeCells>
  <pageMargins left="0.7" right="0.7" top="0.75" bottom="0.75" header="0.3" footer="0.3"/>
  <pageSetup scale="6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7"/>
  <sheetViews>
    <sheetView workbookViewId="0">
      <selection activeCell="M33" sqref="M33"/>
    </sheetView>
  </sheetViews>
  <sheetFormatPr defaultRowHeight="15" x14ac:dyDescent="0.2"/>
  <cols>
    <col min="1" max="1" width="29.109375" bestFit="1" customWidth="1"/>
    <col min="2" max="2" width="12" bestFit="1" customWidth="1"/>
    <col min="3" max="3" width="16.5546875" bestFit="1" customWidth="1"/>
  </cols>
  <sheetData>
    <row r="1" spans="1:14" x14ac:dyDescent="0.2">
      <c r="A1" t="s">
        <v>107</v>
      </c>
    </row>
    <row r="2" spans="1:14" ht="15.75" customHeight="1" thickBot="1" x14ac:dyDescent="0.25">
      <c r="B2" s="113" t="s">
        <v>109</v>
      </c>
      <c r="C2" s="113" t="s">
        <v>110</v>
      </c>
      <c r="K2" s="119" t="s">
        <v>120</v>
      </c>
      <c r="L2" s="119"/>
      <c r="M2" s="119"/>
      <c r="N2" s="119"/>
    </row>
    <row r="3" spans="1:14" ht="15" customHeight="1" x14ac:dyDescent="0.2">
      <c r="A3" t="s">
        <v>108</v>
      </c>
      <c r="B3" s="114">
        <f>261640+545970+4730+337140+478170+58100+1890+37210+864690+391620+39320</f>
        <v>3020480</v>
      </c>
      <c r="C3" s="114">
        <f>35670+19240</f>
        <v>54910</v>
      </c>
      <c r="K3" s="119"/>
      <c r="L3" s="119"/>
      <c r="M3" s="119"/>
      <c r="N3" s="119"/>
    </row>
    <row r="4" spans="1:14" x14ac:dyDescent="0.2">
      <c r="A4" t="s">
        <v>111</v>
      </c>
      <c r="B4" s="114">
        <f>51370+7385669+2344920</f>
        <v>9781959</v>
      </c>
      <c r="C4" s="114">
        <f>2753340+686850</f>
        <v>3440190</v>
      </c>
    </row>
    <row r="5" spans="1:14" x14ac:dyDescent="0.2">
      <c r="A5" t="s">
        <v>112</v>
      </c>
      <c r="B5" s="114">
        <f>1720+799030+11810+31990+602710+217320</f>
        <v>1664580</v>
      </c>
      <c r="C5" s="114">
        <f>44940</f>
        <v>44940</v>
      </c>
    </row>
    <row r="6" spans="1:14" x14ac:dyDescent="0.2">
      <c r="A6" t="s">
        <v>113</v>
      </c>
      <c r="B6" s="114">
        <v>0</v>
      </c>
      <c r="C6" s="114">
        <v>0</v>
      </c>
    </row>
    <row r="7" spans="1:14" x14ac:dyDescent="0.2">
      <c r="A7" t="s">
        <v>114</v>
      </c>
      <c r="B7" s="114">
        <v>380697</v>
      </c>
      <c r="C7" s="114">
        <v>1010</v>
      </c>
    </row>
    <row r="8" spans="1:14" x14ac:dyDescent="0.2">
      <c r="A8" t="s">
        <v>115</v>
      </c>
      <c r="B8" s="114">
        <v>1010</v>
      </c>
      <c r="C8" s="114">
        <v>0</v>
      </c>
    </row>
    <row r="9" spans="1:14" x14ac:dyDescent="0.2">
      <c r="A9" t="s">
        <v>116</v>
      </c>
      <c r="B9" s="114">
        <f>17750+379430+6860+9076805+6915+151975+1647460+832370</f>
        <v>12119565</v>
      </c>
      <c r="C9" s="114">
        <f>222760+288540+202710+416360+158440</f>
        <v>1288810</v>
      </c>
    </row>
    <row r="10" spans="1:14" x14ac:dyDescent="0.2">
      <c r="A10" t="s">
        <v>117</v>
      </c>
      <c r="B10" s="114">
        <f>1762200+92170</f>
        <v>1854370</v>
      </c>
      <c r="C10" s="114">
        <f>184620+77540</f>
        <v>262160</v>
      </c>
    </row>
    <row r="11" spans="1:14" ht="15.75" thickBot="1" x14ac:dyDescent="0.25">
      <c r="A11" t="s">
        <v>118</v>
      </c>
      <c r="B11" s="115">
        <f>27330+280520+455870+132400</f>
        <v>896120</v>
      </c>
      <c r="C11" s="115">
        <f>11430+29410</f>
        <v>40840</v>
      </c>
    </row>
    <row r="12" spans="1:14" x14ac:dyDescent="0.2">
      <c r="A12" t="s">
        <v>119</v>
      </c>
      <c r="B12" s="116">
        <f>SUM(B3:B11)</f>
        <v>29718781</v>
      </c>
      <c r="C12" s="116">
        <f>SUM(C3:C11)</f>
        <v>5132860</v>
      </c>
    </row>
    <row r="17" spans="2:2" x14ac:dyDescent="0.2">
      <c r="B17" s="116"/>
    </row>
  </sheetData>
  <mergeCells count="1">
    <mergeCell ref="K2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65"/>
  <sheetViews>
    <sheetView workbookViewId="0">
      <selection activeCell="M9" sqref="M9"/>
    </sheetView>
  </sheetViews>
  <sheetFormatPr defaultColWidth="13.21875" defaultRowHeight="15" x14ac:dyDescent="0.2"/>
  <cols>
    <col min="1" max="1" width="12.77734375" customWidth="1"/>
    <col min="2" max="10" width="12.21875" customWidth="1"/>
    <col min="11" max="11" width="13.77734375" customWidth="1"/>
    <col min="12" max="12" width="12.21875" customWidth="1"/>
    <col min="13" max="13" width="16.21875" style="91" customWidth="1"/>
    <col min="14" max="14" width="14.5546875" bestFit="1" customWidth="1"/>
  </cols>
  <sheetData>
    <row r="2" spans="1:14" ht="18" customHeight="1" x14ac:dyDescent="0.25">
      <c r="A2" s="74" t="s">
        <v>74</v>
      </c>
      <c r="B2" s="47"/>
      <c r="C2" s="47"/>
      <c r="D2" s="47"/>
      <c r="K2" s="119"/>
      <c r="L2" s="119"/>
      <c r="M2" s="119"/>
      <c r="N2" s="119"/>
    </row>
    <row r="3" spans="1:14" ht="15.75" customHeight="1" x14ac:dyDescent="0.25">
      <c r="A3" s="47"/>
      <c r="B3" s="47"/>
      <c r="C3" s="47"/>
      <c r="D3" s="47"/>
      <c r="F3" s="24" t="str">
        <f>'BSC LSD'!$F$3</f>
        <v>TAX YEAR:     2024</v>
      </c>
      <c r="H3" s="24" t="str">
        <f>'BSC LSD'!$H$3</f>
        <v>COLLECTION YEAR:     2025</v>
      </c>
      <c r="J3" s="30"/>
      <c r="K3" s="119"/>
      <c r="L3" s="119"/>
      <c r="M3" s="119"/>
      <c r="N3" s="119"/>
    </row>
    <row r="4" spans="1:14" x14ac:dyDescent="0.2">
      <c r="A4" s="47"/>
      <c r="B4" s="47"/>
      <c r="C4" s="47"/>
      <c r="D4" s="47"/>
      <c r="H4" s="5"/>
    </row>
    <row r="5" spans="1:14" ht="15.75" x14ac:dyDescent="0.25">
      <c r="A5" s="24" t="s">
        <v>0</v>
      </c>
      <c r="B5" s="73" t="str">
        <f>'BSC LSD'!$B$5</f>
        <v>January 1, 2024</v>
      </c>
      <c r="H5" s="14" t="s">
        <v>1</v>
      </c>
      <c r="L5" s="14" t="s">
        <v>2</v>
      </c>
    </row>
    <row r="6" spans="1:14" x14ac:dyDescent="0.2">
      <c r="F6" s="19" t="s">
        <v>50</v>
      </c>
      <c r="G6" s="4"/>
      <c r="H6" s="14" t="s">
        <v>3</v>
      </c>
      <c r="I6" s="14" t="s">
        <v>4</v>
      </c>
      <c r="J6" s="14" t="s">
        <v>4</v>
      </c>
      <c r="K6" s="14" t="s">
        <v>4</v>
      </c>
      <c r="L6" s="14" t="s">
        <v>4</v>
      </c>
    </row>
    <row r="7" spans="1:14" ht="15.75" thickBot="1" x14ac:dyDescent="0.25">
      <c r="A7" s="20" t="s">
        <v>52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3</v>
      </c>
      <c r="H7" s="13" t="s">
        <v>10</v>
      </c>
      <c r="I7" s="13" t="s">
        <v>11</v>
      </c>
      <c r="J7" s="13" t="s">
        <v>12</v>
      </c>
      <c r="K7" s="13" t="s">
        <v>3</v>
      </c>
      <c r="L7" s="13" t="s">
        <v>13</v>
      </c>
      <c r="M7" s="92" t="s">
        <v>96</v>
      </c>
    </row>
    <row r="8" spans="1:14" ht="15.75" thickTop="1" x14ac:dyDescent="0.2">
      <c r="A8" s="48">
        <v>9242690</v>
      </c>
      <c r="B8" s="48">
        <v>0</v>
      </c>
      <c r="C8" s="48">
        <f>1237680+1290970</f>
        <v>2528650</v>
      </c>
      <c r="D8" s="48">
        <v>77673490</v>
      </c>
      <c r="E8" s="48">
        <v>757633410</v>
      </c>
      <c r="F8" s="51">
        <v>21980</v>
      </c>
      <c r="G8" s="51">
        <v>17339980</v>
      </c>
      <c r="H8" s="6"/>
      <c r="I8" s="6">
        <f>A8+E8</f>
        <v>766876100</v>
      </c>
      <c r="J8" s="6">
        <f>B8+C8+D8+F8</f>
        <v>80224120</v>
      </c>
      <c r="K8" s="6">
        <f>G8+H8</f>
        <v>17339980</v>
      </c>
      <c r="L8" s="6">
        <f>I8+J8+K8</f>
        <v>864440200</v>
      </c>
      <c r="M8" s="100">
        <v>30497170</v>
      </c>
    </row>
    <row r="9" spans="1:14" x14ac:dyDescent="0.2">
      <c r="A9" s="2">
        <f t="shared" ref="A9:M9" si="0">SUM(A8:A8)</f>
        <v>9242690</v>
      </c>
      <c r="B9" s="2">
        <f t="shared" si="0"/>
        <v>0</v>
      </c>
      <c r="C9" s="2">
        <f t="shared" si="0"/>
        <v>2528650</v>
      </c>
      <c r="D9" s="2">
        <f t="shared" si="0"/>
        <v>77673490</v>
      </c>
      <c r="E9" s="2">
        <f t="shared" si="0"/>
        <v>757633410</v>
      </c>
      <c r="F9" s="2">
        <f t="shared" si="0"/>
        <v>21980</v>
      </c>
      <c r="G9" s="2">
        <f t="shared" si="0"/>
        <v>17339980</v>
      </c>
      <c r="H9" s="2">
        <f t="shared" si="0"/>
        <v>0</v>
      </c>
      <c r="I9" s="2">
        <f t="shared" si="0"/>
        <v>766876100</v>
      </c>
      <c r="J9" s="2">
        <f t="shared" si="0"/>
        <v>80224120</v>
      </c>
      <c r="K9" s="2">
        <f t="shared" si="0"/>
        <v>17339980</v>
      </c>
      <c r="L9" s="2">
        <f t="shared" si="0"/>
        <v>864440200</v>
      </c>
      <c r="M9" s="90">
        <f t="shared" si="0"/>
        <v>30497170</v>
      </c>
    </row>
    <row r="10" spans="1:14" x14ac:dyDescent="0.2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x14ac:dyDescent="0.2">
      <c r="A11" s="14" t="s">
        <v>14</v>
      </c>
      <c r="B11" s="14" t="s">
        <v>15</v>
      </c>
      <c r="C11" s="14" t="s">
        <v>12</v>
      </c>
    </row>
    <row r="12" spans="1:14" x14ac:dyDescent="0.2">
      <c r="A12" s="14" t="s">
        <v>16</v>
      </c>
      <c r="B12" s="14" t="s">
        <v>17</v>
      </c>
      <c r="C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20</v>
      </c>
    </row>
    <row r="13" spans="1:14" ht="15.75" thickBot="1" x14ac:dyDescent="0.25">
      <c r="A13" s="13" t="s">
        <v>22</v>
      </c>
      <c r="B13" s="13" t="s">
        <v>23</v>
      </c>
      <c r="C13" s="13" t="s">
        <v>23</v>
      </c>
      <c r="D13" s="1" t="s">
        <v>24</v>
      </c>
      <c r="E13" s="1"/>
      <c r="F13" s="1"/>
      <c r="G13" s="13" t="s">
        <v>25</v>
      </c>
      <c r="H13" s="13" t="s">
        <v>26</v>
      </c>
      <c r="I13" s="13" t="s">
        <v>27</v>
      </c>
      <c r="J13" s="13" t="s">
        <v>28</v>
      </c>
      <c r="K13" s="13" t="s">
        <v>29</v>
      </c>
      <c r="L13" s="13" t="s">
        <v>30</v>
      </c>
    </row>
    <row r="14" spans="1:14" ht="15.75" thickTop="1" x14ac:dyDescent="0.2">
      <c r="A14" s="3" t="s">
        <v>31</v>
      </c>
    </row>
    <row r="15" spans="1:14" x14ac:dyDescent="0.2">
      <c r="A15" s="7">
        <v>5.0999999999999996</v>
      </c>
      <c r="B15" s="8">
        <v>5.0999999999999996</v>
      </c>
      <c r="C15" s="8">
        <v>5.0999999999999996</v>
      </c>
      <c r="D15" t="s">
        <v>40</v>
      </c>
    </row>
    <row r="16" spans="1:14" x14ac:dyDescent="0.2">
      <c r="A16" s="9">
        <f>SUM(A14:A15)</f>
        <v>5.0999999999999996</v>
      </c>
      <c r="B16" s="10">
        <f>SUM(B14:B15)</f>
        <v>5.0999999999999996</v>
      </c>
      <c r="C16" s="10">
        <f>SUM(C14:C15)</f>
        <v>5.0999999999999996</v>
      </c>
      <c r="D16" t="s">
        <v>32</v>
      </c>
    </row>
    <row r="17" spans="1:15" x14ac:dyDescent="0.2">
      <c r="A17" s="11" t="s">
        <v>33</v>
      </c>
      <c r="B17" s="8"/>
      <c r="C17" s="8"/>
    </row>
    <row r="18" spans="1:15" x14ac:dyDescent="0.2">
      <c r="A18" s="7">
        <v>26.3</v>
      </c>
      <c r="B18" s="8">
        <v>10.078949</v>
      </c>
      <c r="C18" s="8">
        <v>9.8488760000000006</v>
      </c>
      <c r="D18" t="s">
        <v>34</v>
      </c>
      <c r="G18" s="14" t="s">
        <v>35</v>
      </c>
      <c r="H18" s="14" t="s">
        <v>36</v>
      </c>
      <c r="I18" s="14" t="s">
        <v>62</v>
      </c>
      <c r="J18" s="14" t="s">
        <v>36</v>
      </c>
      <c r="K18" s="14" t="s">
        <v>37</v>
      </c>
      <c r="L18" s="14" t="s">
        <v>37</v>
      </c>
    </row>
    <row r="19" spans="1:15" x14ac:dyDescent="0.2">
      <c r="A19" s="7">
        <v>7.5</v>
      </c>
      <c r="B19" s="8">
        <v>2.9704419999999998</v>
      </c>
      <c r="C19" s="8">
        <v>3.096997</v>
      </c>
      <c r="D19" t="s">
        <v>34</v>
      </c>
      <c r="G19" s="14" t="s">
        <v>35</v>
      </c>
      <c r="H19" s="14">
        <v>1981</v>
      </c>
      <c r="I19" s="23">
        <v>29683</v>
      </c>
      <c r="J19" s="14">
        <v>1981</v>
      </c>
      <c r="K19" s="14" t="s">
        <v>37</v>
      </c>
      <c r="L19" s="14" t="s">
        <v>37</v>
      </c>
    </row>
    <row r="20" spans="1:15" x14ac:dyDescent="0.2">
      <c r="A20" s="7">
        <v>3</v>
      </c>
      <c r="B20" s="8">
        <v>1.204404</v>
      </c>
      <c r="C20" s="8">
        <v>1.2591509999999999</v>
      </c>
      <c r="D20" t="s">
        <v>34</v>
      </c>
      <c r="G20" s="14" t="s">
        <v>35</v>
      </c>
      <c r="H20" s="14">
        <v>1985</v>
      </c>
      <c r="I20" s="23">
        <v>31174</v>
      </c>
      <c r="J20" s="14">
        <v>1985</v>
      </c>
      <c r="K20" s="14" t="s">
        <v>37</v>
      </c>
      <c r="L20" s="14" t="s">
        <v>37</v>
      </c>
    </row>
    <row r="21" spans="1:15" x14ac:dyDescent="0.2">
      <c r="A21" s="7">
        <v>1.5</v>
      </c>
      <c r="B21" s="8">
        <v>0.64622800000000002</v>
      </c>
      <c r="C21" s="8">
        <v>0.69499900000000003</v>
      </c>
      <c r="D21" t="s">
        <v>34</v>
      </c>
      <c r="G21" s="14" t="s">
        <v>35</v>
      </c>
      <c r="H21" s="14" t="s">
        <v>63</v>
      </c>
      <c r="I21" s="23">
        <v>34093</v>
      </c>
      <c r="J21" s="14" t="s">
        <v>63</v>
      </c>
      <c r="K21" s="14" t="s">
        <v>37</v>
      </c>
      <c r="L21" s="14" t="s">
        <v>37</v>
      </c>
    </row>
    <row r="22" spans="1:15" hidden="1" x14ac:dyDescent="0.2">
      <c r="A22" s="40">
        <v>0</v>
      </c>
      <c r="B22" s="41">
        <v>0</v>
      </c>
      <c r="C22" s="41">
        <v>0</v>
      </c>
      <c r="D22" s="42" t="s">
        <v>54</v>
      </c>
      <c r="E22" s="43"/>
      <c r="F22" s="43"/>
      <c r="G22" s="44" t="s">
        <v>43</v>
      </c>
      <c r="H22" s="45">
        <v>2005</v>
      </c>
      <c r="I22" s="46">
        <v>39511</v>
      </c>
      <c r="J22" s="45">
        <v>2008</v>
      </c>
      <c r="K22" s="45" t="s">
        <v>44</v>
      </c>
      <c r="L22" s="45">
        <v>2010</v>
      </c>
      <c r="M22" s="93" t="s">
        <v>57</v>
      </c>
    </row>
    <row r="23" spans="1:15" ht="15.75" x14ac:dyDescent="0.25">
      <c r="A23" s="50">
        <v>1.5</v>
      </c>
      <c r="B23" s="52">
        <v>0.78455699999999995</v>
      </c>
      <c r="C23" s="52">
        <v>0.95150400000000002</v>
      </c>
      <c r="D23" s="47" t="s">
        <v>58</v>
      </c>
      <c r="G23" s="49" t="s">
        <v>35</v>
      </c>
      <c r="H23" s="22">
        <v>2014</v>
      </c>
      <c r="I23" s="21">
        <v>41765</v>
      </c>
      <c r="J23" s="22">
        <v>2014</v>
      </c>
      <c r="K23" s="75" t="s">
        <v>37</v>
      </c>
      <c r="L23" s="75" t="s">
        <v>37</v>
      </c>
      <c r="M23" s="94"/>
      <c r="N23" s="28"/>
      <c r="O23" s="14"/>
    </row>
    <row r="24" spans="1:15" ht="15.75" hidden="1" x14ac:dyDescent="0.25">
      <c r="A24" s="7">
        <v>0</v>
      </c>
      <c r="B24" s="8">
        <v>0</v>
      </c>
      <c r="C24" s="8">
        <v>0</v>
      </c>
      <c r="D24" t="s">
        <v>53</v>
      </c>
      <c r="G24" s="14" t="s">
        <v>41</v>
      </c>
      <c r="H24" s="14" t="s">
        <v>46</v>
      </c>
      <c r="I24" s="14" t="s">
        <v>47</v>
      </c>
      <c r="J24" s="14" t="s">
        <v>46</v>
      </c>
      <c r="K24" s="14" t="s">
        <v>42</v>
      </c>
      <c r="L24" s="14" t="s">
        <v>49</v>
      </c>
      <c r="M24" s="94" t="s">
        <v>56</v>
      </c>
      <c r="N24" s="28"/>
    </row>
    <row r="25" spans="1:15" x14ac:dyDescent="0.2">
      <c r="A25" s="9">
        <f>SUM(A18:A24)</f>
        <v>39.799999999999997</v>
      </c>
      <c r="B25" s="10">
        <f>SUM(B18:B24)</f>
        <v>15.68458</v>
      </c>
      <c r="C25" s="10">
        <f>SUM(C18:C24)</f>
        <v>15.851526999999999</v>
      </c>
      <c r="D25" t="s">
        <v>38</v>
      </c>
    </row>
    <row r="26" spans="1:15" ht="15.75" thickBot="1" x14ac:dyDescent="0.25">
      <c r="A26" s="7"/>
      <c r="B26" s="8"/>
      <c r="C26" s="8"/>
    </row>
    <row r="27" spans="1:15" ht="16.5" thickTop="1" x14ac:dyDescent="0.25">
      <c r="A27" s="71">
        <f>(+A16+A25)</f>
        <v>44.9</v>
      </c>
      <c r="B27" s="72">
        <f>(+B16+B25)</f>
        <v>20.784579999999998</v>
      </c>
      <c r="C27" s="72">
        <f>(+C16+C25)</f>
        <v>20.951526999999999</v>
      </c>
      <c r="D27" t="s">
        <v>45</v>
      </c>
    </row>
    <row r="30" spans="1:15" x14ac:dyDescent="0.2">
      <c r="A30" s="7"/>
      <c r="B30" s="8"/>
      <c r="C30" s="8"/>
    </row>
    <row r="31" spans="1:15" x14ac:dyDescent="0.2">
      <c r="A31" s="15" t="s">
        <v>14</v>
      </c>
      <c r="B31" s="17" t="s">
        <v>15</v>
      </c>
      <c r="C31" s="17" t="s">
        <v>12</v>
      </c>
      <c r="I31" s="19" t="s">
        <v>51</v>
      </c>
      <c r="J31" s="4"/>
      <c r="K31" s="4"/>
      <c r="L31" s="4"/>
      <c r="M31" s="95"/>
      <c r="N31" s="31"/>
    </row>
    <row r="32" spans="1:15" x14ac:dyDescent="0.2">
      <c r="A32" s="15" t="s">
        <v>16</v>
      </c>
      <c r="B32" s="17" t="s">
        <v>17</v>
      </c>
      <c r="C32" s="17" t="s">
        <v>17</v>
      </c>
      <c r="I32" s="14" t="s">
        <v>4</v>
      </c>
      <c r="J32" s="14" t="s">
        <v>4</v>
      </c>
      <c r="K32" s="14" t="s">
        <v>4</v>
      </c>
      <c r="L32" s="14" t="s">
        <v>4</v>
      </c>
      <c r="M32" s="96"/>
      <c r="N32" s="33"/>
    </row>
    <row r="33" spans="1:15" ht="15.75" thickBot="1" x14ac:dyDescent="0.25">
      <c r="A33" s="16" t="s">
        <v>22</v>
      </c>
      <c r="B33" s="18" t="s">
        <v>23</v>
      </c>
      <c r="C33" s="18" t="s">
        <v>23</v>
      </c>
      <c r="D33" s="1" t="s">
        <v>24</v>
      </c>
      <c r="E33" s="1"/>
      <c r="F33" s="1"/>
      <c r="G33" s="1"/>
      <c r="H33" s="1"/>
      <c r="I33" s="13" t="s">
        <v>11</v>
      </c>
      <c r="J33" s="13" t="s">
        <v>12</v>
      </c>
      <c r="K33" s="13" t="s">
        <v>3</v>
      </c>
      <c r="L33" s="13" t="s">
        <v>39</v>
      </c>
      <c r="M33" s="95"/>
      <c r="N33" s="35"/>
    </row>
    <row r="34" spans="1:15" ht="15.75" thickTop="1" x14ac:dyDescent="0.2">
      <c r="A34" s="3" t="s">
        <v>31</v>
      </c>
      <c r="I34" s="6"/>
      <c r="J34" s="6"/>
      <c r="K34" s="6"/>
      <c r="L34" s="6"/>
      <c r="M34" s="96"/>
      <c r="N34" s="31"/>
    </row>
    <row r="35" spans="1:15" x14ac:dyDescent="0.2">
      <c r="A35" s="7">
        <f>A15</f>
        <v>5.0999999999999996</v>
      </c>
      <c r="B35" s="8">
        <f>B15</f>
        <v>5.0999999999999996</v>
      </c>
      <c r="C35" s="8">
        <f>C15</f>
        <v>5.0999999999999996</v>
      </c>
      <c r="D35" t="s">
        <v>40</v>
      </c>
      <c r="I35" s="6">
        <f>($I$9*B35)/1000</f>
        <v>3911068.1099999994</v>
      </c>
      <c r="J35" s="6">
        <f>($J$9*C35)/1000</f>
        <v>409143.01199999999</v>
      </c>
      <c r="K35" s="6">
        <f>($K$9*A35)/1000</f>
        <v>88433.898000000001</v>
      </c>
      <c r="L35" s="6">
        <f>SUM(I35:K35)</f>
        <v>4408645.0199999996</v>
      </c>
      <c r="M35" s="96"/>
      <c r="N35" s="25"/>
    </row>
    <row r="36" spans="1:15" x14ac:dyDescent="0.2">
      <c r="A36" s="9">
        <f>SUM(A34:A35)</f>
        <v>5.0999999999999996</v>
      </c>
      <c r="B36" s="10">
        <f>SUM(B34:B35)</f>
        <v>5.0999999999999996</v>
      </c>
      <c r="C36" s="10">
        <f>SUM(C34:C35)</f>
        <v>5.0999999999999996</v>
      </c>
      <c r="D36" t="s">
        <v>32</v>
      </c>
      <c r="I36" s="2">
        <f>SUM(I35:I35)</f>
        <v>3911068.1099999994</v>
      </c>
      <c r="J36" s="2">
        <f>SUM(J35:J35)</f>
        <v>409143.01199999999</v>
      </c>
      <c r="K36" s="2">
        <f>SUM(K35:K35)</f>
        <v>88433.898000000001</v>
      </c>
      <c r="L36" s="2">
        <f>SUM(L35:L35)</f>
        <v>4408645.0199999996</v>
      </c>
      <c r="M36" s="96"/>
      <c r="N36" s="25"/>
    </row>
    <row r="37" spans="1:15" x14ac:dyDescent="0.2">
      <c r="A37" s="11" t="s">
        <v>33</v>
      </c>
      <c r="B37" s="8"/>
      <c r="C37" s="8"/>
      <c r="I37" s="6"/>
      <c r="J37" s="6"/>
      <c r="K37" s="6"/>
      <c r="L37" s="6"/>
      <c r="M37" s="96"/>
      <c r="N37" s="31"/>
    </row>
    <row r="38" spans="1:15" x14ac:dyDescent="0.2">
      <c r="A38" s="7">
        <f t="shared" ref="A38:C44" si="1">A18</f>
        <v>26.3</v>
      </c>
      <c r="B38" s="8">
        <f t="shared" si="1"/>
        <v>10.078949</v>
      </c>
      <c r="C38" s="8">
        <f t="shared" si="1"/>
        <v>9.8488760000000006</v>
      </c>
      <c r="D38" t="s">
        <v>34</v>
      </c>
      <c r="I38" s="6">
        <f t="shared" ref="I38:I44" si="2">($I$9*B38)/1000</f>
        <v>7729305.1012188997</v>
      </c>
      <c r="J38" s="6">
        <f t="shared" ref="J38:J44" si="3">($J$9*C38)/1000</f>
        <v>790117.41008912004</v>
      </c>
      <c r="K38" s="6">
        <f t="shared" ref="K38:K44" si="4">($K$9*A38)/1000</f>
        <v>456041.47399999999</v>
      </c>
      <c r="L38" s="6">
        <f t="shared" ref="L38:L44" si="5">SUM(I38:K38)</f>
        <v>8975463.9853080194</v>
      </c>
      <c r="M38" s="96"/>
      <c r="N38" s="25"/>
    </row>
    <row r="39" spans="1:15" x14ac:dyDescent="0.2">
      <c r="A39" s="7">
        <f t="shared" si="1"/>
        <v>7.5</v>
      </c>
      <c r="B39" s="8">
        <f t="shared" si="1"/>
        <v>2.9704419999999998</v>
      </c>
      <c r="C39" s="8">
        <f t="shared" si="1"/>
        <v>3.096997</v>
      </c>
      <c r="D39" t="s">
        <v>34</v>
      </c>
      <c r="I39" s="6">
        <f t="shared" si="2"/>
        <v>2277960.9762362</v>
      </c>
      <c r="J39" s="6">
        <f t="shared" si="3"/>
        <v>248453.85896764</v>
      </c>
      <c r="K39" s="6">
        <f t="shared" si="4"/>
        <v>130049.85</v>
      </c>
      <c r="L39" s="6">
        <f t="shared" si="5"/>
        <v>2656464.68520384</v>
      </c>
      <c r="M39" s="96"/>
      <c r="N39" s="25"/>
    </row>
    <row r="40" spans="1:15" x14ac:dyDescent="0.2">
      <c r="A40" s="7">
        <f t="shared" si="1"/>
        <v>3</v>
      </c>
      <c r="B40" s="8">
        <f t="shared" si="1"/>
        <v>1.204404</v>
      </c>
      <c r="C40" s="8">
        <f t="shared" si="1"/>
        <v>1.2591509999999999</v>
      </c>
      <c r="D40" t="s">
        <v>34</v>
      </c>
      <c r="I40" s="6">
        <f t="shared" si="2"/>
        <v>923628.64234440005</v>
      </c>
      <c r="J40" s="6">
        <f t="shared" si="3"/>
        <v>101014.28092211999</v>
      </c>
      <c r="K40" s="6">
        <f t="shared" si="4"/>
        <v>52019.94</v>
      </c>
      <c r="L40" s="6">
        <f t="shared" si="5"/>
        <v>1076662.86326652</v>
      </c>
      <c r="M40" s="96"/>
      <c r="N40" s="25"/>
    </row>
    <row r="41" spans="1:15" x14ac:dyDescent="0.2">
      <c r="A41" s="7">
        <f t="shared" si="1"/>
        <v>1.5</v>
      </c>
      <c r="B41" s="8">
        <f t="shared" si="1"/>
        <v>0.64622800000000002</v>
      </c>
      <c r="C41" s="8">
        <f t="shared" si="1"/>
        <v>0.69499900000000003</v>
      </c>
      <c r="D41" t="s">
        <v>34</v>
      </c>
      <c r="I41" s="6">
        <f t="shared" si="2"/>
        <v>495576.80835080001</v>
      </c>
      <c r="J41" s="6">
        <f t="shared" si="3"/>
        <v>55755.683175880004</v>
      </c>
      <c r="K41" s="6">
        <f t="shared" si="4"/>
        <v>26009.97</v>
      </c>
      <c r="L41" s="6">
        <f t="shared" si="5"/>
        <v>577342.46152668004</v>
      </c>
      <c r="M41" s="96"/>
      <c r="N41" s="25"/>
    </row>
    <row r="42" spans="1:15" hidden="1" x14ac:dyDescent="0.2">
      <c r="A42" s="7">
        <f t="shared" si="1"/>
        <v>0</v>
      </c>
      <c r="B42" s="8">
        <f t="shared" si="1"/>
        <v>0</v>
      </c>
      <c r="C42" s="8">
        <f t="shared" si="1"/>
        <v>0</v>
      </c>
      <c r="D42" s="42" t="s">
        <v>55</v>
      </c>
      <c r="E42" s="43"/>
      <c r="F42" s="43"/>
      <c r="I42" s="6">
        <f>($I$9*B42)/1000</f>
        <v>0</v>
      </c>
      <c r="J42" s="6">
        <f>($J$9*C42)/1000</f>
        <v>0</v>
      </c>
      <c r="K42" s="6">
        <f>($K$9*A42)/1000</f>
        <v>0</v>
      </c>
      <c r="L42" s="6">
        <f t="shared" si="5"/>
        <v>0</v>
      </c>
      <c r="M42" s="96"/>
      <c r="N42" s="25"/>
    </row>
    <row r="43" spans="1:15" x14ac:dyDescent="0.2">
      <c r="A43" s="7">
        <f t="shared" si="1"/>
        <v>1.5</v>
      </c>
      <c r="B43" s="8">
        <f t="shared" si="1"/>
        <v>0.78455699999999995</v>
      </c>
      <c r="C43" s="8">
        <f t="shared" si="1"/>
        <v>0.95150400000000002</v>
      </c>
      <c r="D43" s="47" t="s">
        <v>58</v>
      </c>
      <c r="I43" s="6">
        <f>($I$9*B43)/1000</f>
        <v>601658.01238769991</v>
      </c>
      <c r="J43" s="6">
        <f>($J$9*C43)/1000</f>
        <v>76333.571076480002</v>
      </c>
      <c r="K43" s="6">
        <f>($K$9*A43)/1000</f>
        <v>26009.97</v>
      </c>
      <c r="L43" s="6">
        <f t="shared" si="5"/>
        <v>704001.55346417986</v>
      </c>
      <c r="M43" s="96"/>
      <c r="N43" s="25"/>
    </row>
    <row r="44" spans="1:15" hidden="1" x14ac:dyDescent="0.2">
      <c r="A44" s="7">
        <f t="shared" si="1"/>
        <v>0</v>
      </c>
      <c r="B44" s="8">
        <f t="shared" si="1"/>
        <v>0</v>
      </c>
      <c r="C44" s="8">
        <f t="shared" si="1"/>
        <v>0</v>
      </c>
      <c r="D44" t="s">
        <v>48</v>
      </c>
      <c r="I44" s="6">
        <f t="shared" si="2"/>
        <v>0</v>
      </c>
      <c r="J44" s="6">
        <f t="shared" si="3"/>
        <v>0</v>
      </c>
      <c r="K44" s="6">
        <f t="shared" si="4"/>
        <v>0</v>
      </c>
      <c r="L44" s="6">
        <f t="shared" si="5"/>
        <v>0</v>
      </c>
      <c r="M44" s="96"/>
      <c r="N44" s="25"/>
      <c r="O44" s="29"/>
    </row>
    <row r="45" spans="1:15" x14ac:dyDescent="0.2">
      <c r="A45" s="9">
        <f>SUM(A38:A44)</f>
        <v>39.799999999999997</v>
      </c>
      <c r="B45" s="10">
        <f>SUM(B38:B44)</f>
        <v>15.68458</v>
      </c>
      <c r="C45" s="10">
        <f>SUM(C38:C44)</f>
        <v>15.851526999999999</v>
      </c>
      <c r="D45" t="s">
        <v>38</v>
      </c>
      <c r="I45" s="2">
        <f>SUM(I38:I44)</f>
        <v>12028129.540538</v>
      </c>
      <c r="J45" s="2">
        <f>SUM(J38:J44)</f>
        <v>1271674.8042312399</v>
      </c>
      <c r="K45" s="2">
        <f>SUM(K38:K44)</f>
        <v>690131.20399999991</v>
      </c>
      <c r="L45" s="2">
        <f>SUM(L38:L44)</f>
        <v>13989935.548769241</v>
      </c>
      <c r="M45" s="96"/>
      <c r="N45" s="25"/>
    </row>
    <row r="46" spans="1:15" ht="15.75" thickBot="1" x14ac:dyDescent="0.25">
      <c r="A46" s="7"/>
      <c r="B46" s="8"/>
      <c r="C46" s="8"/>
      <c r="I46" s="6"/>
      <c r="J46" s="6"/>
      <c r="K46" s="6"/>
      <c r="L46" s="6"/>
      <c r="M46" s="96"/>
      <c r="N46" s="31"/>
    </row>
    <row r="47" spans="1:15" ht="16.5" thickTop="1" x14ac:dyDescent="0.25">
      <c r="A47" s="71">
        <f>(+A36+A45)</f>
        <v>44.9</v>
      </c>
      <c r="B47" s="72">
        <f>(+B36+B45)</f>
        <v>20.784579999999998</v>
      </c>
      <c r="C47" s="72">
        <f>(+C36+C45)</f>
        <v>20.951526999999999</v>
      </c>
      <c r="D47" t="s">
        <v>45</v>
      </c>
      <c r="I47" s="12">
        <f>(+I36+I45)</f>
        <v>15939197.650537999</v>
      </c>
      <c r="J47" s="12">
        <f>(+J36+J45)</f>
        <v>1680817.8162312401</v>
      </c>
      <c r="K47" s="12">
        <f>(+K36+K45)</f>
        <v>778565.10199999996</v>
      </c>
      <c r="L47" s="12">
        <f>(+L36+L45)</f>
        <v>18398580.568769239</v>
      </c>
      <c r="M47" s="97"/>
      <c r="N47" s="36"/>
    </row>
    <row r="48" spans="1:15" x14ac:dyDescent="0.2">
      <c r="I48" s="6"/>
      <c r="J48" s="6"/>
      <c r="K48" s="6"/>
      <c r="L48" s="6"/>
    </row>
    <row r="49" spans="4:16" x14ac:dyDescent="0.2">
      <c r="F49" s="37"/>
      <c r="G49" s="37"/>
      <c r="H49" s="55"/>
      <c r="I49" s="69"/>
      <c r="J49" s="56"/>
      <c r="K49" s="53"/>
      <c r="L49" s="53"/>
      <c r="M49" s="98"/>
      <c r="N49" s="53"/>
      <c r="O49" s="67"/>
      <c r="P49" s="68"/>
    </row>
    <row r="50" spans="4:16" ht="15.75" x14ac:dyDescent="0.25">
      <c r="D50" s="24" t="s">
        <v>95</v>
      </c>
      <c r="F50" s="38"/>
      <c r="G50" s="38"/>
      <c r="H50" s="57"/>
      <c r="I50" s="70"/>
      <c r="J50" s="59"/>
      <c r="K50" s="60"/>
      <c r="L50" s="60"/>
      <c r="M50" s="99"/>
      <c r="N50" s="64"/>
      <c r="O50" s="62"/>
      <c r="P50" s="62"/>
    </row>
    <row r="51" spans="4:16" x14ac:dyDescent="0.2">
      <c r="F51" s="38"/>
      <c r="G51" s="38"/>
      <c r="H51" s="57"/>
      <c r="I51" s="58"/>
      <c r="J51" s="59"/>
      <c r="K51" s="60"/>
      <c r="L51" s="60"/>
      <c r="M51" s="99"/>
      <c r="N51" s="62"/>
      <c r="O51" s="62"/>
      <c r="P51" s="62"/>
    </row>
    <row r="52" spans="4:16" x14ac:dyDescent="0.2">
      <c r="F52" s="38"/>
      <c r="G52" s="38"/>
      <c r="H52" s="57"/>
      <c r="I52" s="58"/>
      <c r="J52" s="59"/>
      <c r="K52" s="60"/>
      <c r="L52" s="60"/>
      <c r="M52" s="99"/>
      <c r="N52" s="62"/>
      <c r="O52" s="62"/>
      <c r="P52" s="62"/>
    </row>
    <row r="53" spans="4:16" x14ac:dyDescent="0.2">
      <c r="F53" s="38"/>
      <c r="G53" s="38"/>
      <c r="H53" s="57"/>
      <c r="I53" s="58"/>
      <c r="J53" s="59"/>
      <c r="K53" s="60"/>
      <c r="L53" s="60"/>
      <c r="M53" s="99"/>
      <c r="N53" s="64"/>
      <c r="O53" s="62"/>
      <c r="P53" s="62"/>
    </row>
    <row r="54" spans="4:16" x14ac:dyDescent="0.2">
      <c r="F54" s="38"/>
      <c r="G54" s="38"/>
      <c r="H54" s="57"/>
      <c r="I54" s="58"/>
      <c r="J54" s="59"/>
      <c r="K54" s="60"/>
      <c r="L54" s="60"/>
      <c r="M54" s="99"/>
      <c r="N54" s="64"/>
      <c r="O54" s="62"/>
      <c r="P54" s="62"/>
    </row>
    <row r="55" spans="4:16" x14ac:dyDescent="0.2">
      <c r="F55" s="38"/>
      <c r="G55" s="38"/>
      <c r="H55" s="57"/>
      <c r="I55" s="58"/>
      <c r="J55" s="59"/>
      <c r="K55" s="60"/>
      <c r="L55" s="60"/>
      <c r="M55" s="99"/>
      <c r="N55" s="64"/>
      <c r="O55" s="62"/>
      <c r="P55" s="62"/>
    </row>
    <row r="56" spans="4:16" x14ac:dyDescent="0.2">
      <c r="F56" s="38"/>
      <c r="G56" s="38"/>
      <c r="H56" s="57"/>
      <c r="I56" s="58"/>
      <c r="J56" s="59"/>
      <c r="K56" s="60"/>
      <c r="L56" s="60"/>
      <c r="M56" s="99"/>
      <c r="N56" s="64"/>
      <c r="O56" s="62"/>
      <c r="P56" s="62"/>
    </row>
    <row r="57" spans="4:16" x14ac:dyDescent="0.2">
      <c r="F57" s="27"/>
      <c r="G57" s="27"/>
      <c r="H57" s="61"/>
      <c r="I57" s="63"/>
      <c r="J57" s="63"/>
      <c r="K57" s="61"/>
      <c r="L57" s="64"/>
      <c r="M57" s="99"/>
      <c r="N57" s="64"/>
      <c r="O57" s="54"/>
      <c r="P57" s="54"/>
    </row>
    <row r="58" spans="4:16" x14ac:dyDescent="0.2">
      <c r="H58" s="54"/>
      <c r="I58" s="54"/>
      <c r="J58" s="54"/>
      <c r="K58" s="54"/>
      <c r="L58" s="66"/>
      <c r="M58" s="99"/>
      <c r="N58" s="66"/>
      <c r="O58" s="54"/>
      <c r="P58" s="54"/>
    </row>
    <row r="59" spans="4:16" x14ac:dyDescent="0.2">
      <c r="H59" s="54"/>
      <c r="I59" s="65"/>
      <c r="J59" s="54"/>
      <c r="K59" s="54"/>
      <c r="L59" s="66"/>
      <c r="M59" s="99"/>
      <c r="N59" s="62"/>
      <c r="O59" s="54"/>
      <c r="P59" s="54"/>
    </row>
    <row r="60" spans="4:16" x14ac:dyDescent="0.2">
      <c r="H60" s="54"/>
      <c r="I60" s="54"/>
      <c r="J60" s="54"/>
      <c r="K60" s="54"/>
      <c r="L60" s="54"/>
      <c r="M60" s="95"/>
      <c r="N60" s="54"/>
      <c r="O60" s="54"/>
      <c r="P60" s="54"/>
    </row>
    <row r="62" spans="4:16" x14ac:dyDescent="0.2">
      <c r="I62" s="31"/>
    </row>
    <row r="63" spans="4:16" x14ac:dyDescent="0.2">
      <c r="I63" s="31"/>
    </row>
    <row r="64" spans="4:16" x14ac:dyDescent="0.2">
      <c r="I64" s="31"/>
    </row>
    <row r="65" spans="9:9" ht="15.75" x14ac:dyDescent="0.25">
      <c r="I65" s="32"/>
    </row>
  </sheetData>
  <mergeCells count="1">
    <mergeCell ref="K2:N3"/>
  </mergeCells>
  <pageMargins left="0.7" right="0.7" top="0.75" bottom="0.75" header="0.3" footer="0.3"/>
  <pageSetup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83"/>
  <sheetViews>
    <sheetView workbookViewId="0">
      <selection activeCell="A8" sqref="A8"/>
    </sheetView>
  </sheetViews>
  <sheetFormatPr defaultColWidth="13.21875" defaultRowHeight="15" x14ac:dyDescent="0.2"/>
  <cols>
    <col min="1" max="1" width="12.77734375" customWidth="1"/>
    <col min="2" max="10" width="12.21875" customWidth="1"/>
    <col min="11" max="11" width="13.77734375" customWidth="1"/>
    <col min="12" max="12" width="12.21875" customWidth="1"/>
    <col min="13" max="13" width="16.21875" customWidth="1"/>
    <col min="14" max="14" width="14.5546875" bestFit="1" customWidth="1"/>
  </cols>
  <sheetData>
    <row r="2" spans="1:14" ht="18" customHeight="1" x14ac:dyDescent="0.25">
      <c r="A2" s="74" t="s">
        <v>73</v>
      </c>
      <c r="B2" s="47"/>
      <c r="C2" s="47"/>
      <c r="D2" s="47"/>
      <c r="K2" s="119"/>
      <c r="L2" s="119"/>
      <c r="M2" s="119"/>
      <c r="N2" s="119"/>
    </row>
    <row r="3" spans="1:14" ht="15.75" customHeight="1" x14ac:dyDescent="0.25">
      <c r="A3" s="47"/>
      <c r="B3" s="47"/>
      <c r="C3" s="47"/>
      <c r="D3" s="47"/>
      <c r="F3" s="24" t="str">
        <f>'Danbury LSD'!$F$3</f>
        <v>TAX YEAR:     2024</v>
      </c>
      <c r="H3" s="24" t="str">
        <f>'Danbury LSD'!$H$3</f>
        <v>COLLECTION YEAR:     2025</v>
      </c>
      <c r="J3" s="30"/>
      <c r="K3" s="119"/>
      <c r="L3" s="119"/>
      <c r="M3" s="119"/>
      <c r="N3" s="119"/>
    </row>
    <row r="4" spans="1:14" x14ac:dyDescent="0.2">
      <c r="A4" s="47"/>
      <c r="B4" s="47"/>
      <c r="C4" s="47"/>
      <c r="D4" s="47"/>
      <c r="H4" s="5"/>
    </row>
    <row r="5" spans="1:14" ht="15.75" x14ac:dyDescent="0.25">
      <c r="A5" s="24" t="s">
        <v>0</v>
      </c>
      <c r="B5" s="73" t="str">
        <f>'Danbury LSD'!$B$5</f>
        <v>January 1, 2024</v>
      </c>
      <c r="H5" s="14" t="s">
        <v>1</v>
      </c>
      <c r="L5" s="14" t="s">
        <v>2</v>
      </c>
    </row>
    <row r="6" spans="1:14" x14ac:dyDescent="0.2">
      <c r="F6" s="19" t="s">
        <v>50</v>
      </c>
      <c r="G6" s="4"/>
      <c r="H6" s="14" t="s">
        <v>3</v>
      </c>
      <c r="I6" s="14" t="s">
        <v>4</v>
      </c>
      <c r="J6" s="14" t="s">
        <v>4</v>
      </c>
      <c r="K6" s="14" t="s">
        <v>4</v>
      </c>
      <c r="L6" s="14" t="s">
        <v>4</v>
      </c>
    </row>
    <row r="7" spans="1:14" ht="15.75" thickBot="1" x14ac:dyDescent="0.25">
      <c r="A7" s="20" t="s">
        <v>52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3</v>
      </c>
      <c r="H7" s="13" t="s">
        <v>10</v>
      </c>
      <c r="I7" s="13" t="s">
        <v>11</v>
      </c>
      <c r="J7" s="13" t="s">
        <v>12</v>
      </c>
      <c r="K7" s="13" t="s">
        <v>3</v>
      </c>
      <c r="L7" s="13" t="s">
        <v>13</v>
      </c>
      <c r="M7" s="101" t="s">
        <v>97</v>
      </c>
    </row>
    <row r="8" spans="1:14" ht="15.75" thickTop="1" x14ac:dyDescent="0.2">
      <c r="A8" s="48">
        <v>38173760</v>
      </c>
      <c r="B8" s="48">
        <v>0</v>
      </c>
      <c r="C8" s="48">
        <v>3394290</v>
      </c>
      <c r="D8" s="48">
        <v>15300420</v>
      </c>
      <c r="E8" s="48">
        <v>216335330</v>
      </c>
      <c r="F8" s="51">
        <v>126950</v>
      </c>
      <c r="G8" s="51">
        <v>12807700</v>
      </c>
      <c r="H8" s="6"/>
      <c r="I8" s="6">
        <f>A8+E8</f>
        <v>254509090</v>
      </c>
      <c r="J8" s="6">
        <f>B8+C8+D8+F8</f>
        <v>18821660</v>
      </c>
      <c r="K8" s="6">
        <f>G8+H8</f>
        <v>12807700</v>
      </c>
      <c r="L8" s="6">
        <f>I8+J8+K8</f>
        <v>286138450</v>
      </c>
      <c r="M8" s="100">
        <v>15211600</v>
      </c>
    </row>
    <row r="9" spans="1:14" x14ac:dyDescent="0.2">
      <c r="A9" s="2">
        <f t="shared" ref="A9:M9" si="0">SUM(A8:A8)</f>
        <v>38173760</v>
      </c>
      <c r="B9" s="2">
        <f t="shared" si="0"/>
        <v>0</v>
      </c>
      <c r="C9" s="2">
        <f t="shared" si="0"/>
        <v>3394290</v>
      </c>
      <c r="D9" s="2">
        <f t="shared" si="0"/>
        <v>15300420</v>
      </c>
      <c r="E9" s="2">
        <f t="shared" si="0"/>
        <v>216335330</v>
      </c>
      <c r="F9" s="2">
        <f t="shared" si="0"/>
        <v>126950</v>
      </c>
      <c r="G9" s="2">
        <f t="shared" si="0"/>
        <v>12807700</v>
      </c>
      <c r="H9" s="2">
        <f t="shared" si="0"/>
        <v>0</v>
      </c>
      <c r="I9" s="2">
        <f t="shared" si="0"/>
        <v>254509090</v>
      </c>
      <c r="J9" s="2">
        <f t="shared" si="0"/>
        <v>18821660</v>
      </c>
      <c r="K9" s="2">
        <f t="shared" si="0"/>
        <v>12807700</v>
      </c>
      <c r="L9" s="2">
        <f t="shared" si="0"/>
        <v>286138450</v>
      </c>
      <c r="M9" s="90">
        <f t="shared" si="0"/>
        <v>15211600</v>
      </c>
    </row>
    <row r="10" spans="1:14" x14ac:dyDescent="0.2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x14ac:dyDescent="0.2">
      <c r="A11" s="14" t="s">
        <v>14</v>
      </c>
      <c r="B11" s="14" t="s">
        <v>15</v>
      </c>
      <c r="C11" s="14" t="s">
        <v>12</v>
      </c>
    </row>
    <row r="12" spans="1:14" x14ac:dyDescent="0.2">
      <c r="A12" s="14" t="s">
        <v>16</v>
      </c>
      <c r="B12" s="14" t="s">
        <v>17</v>
      </c>
      <c r="C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20</v>
      </c>
    </row>
    <row r="13" spans="1:14" ht="15.75" thickBot="1" x14ac:dyDescent="0.25">
      <c r="A13" s="13" t="s">
        <v>22</v>
      </c>
      <c r="B13" s="13" t="s">
        <v>23</v>
      </c>
      <c r="C13" s="13" t="s">
        <v>23</v>
      </c>
      <c r="D13" s="1" t="s">
        <v>24</v>
      </c>
      <c r="E13" s="1"/>
      <c r="F13" s="1"/>
      <c r="G13" s="13" t="s">
        <v>25</v>
      </c>
      <c r="H13" s="13" t="s">
        <v>26</v>
      </c>
      <c r="I13" s="13" t="s">
        <v>27</v>
      </c>
      <c r="J13" s="13" t="s">
        <v>28</v>
      </c>
      <c r="K13" s="13" t="s">
        <v>29</v>
      </c>
      <c r="L13" s="13" t="s">
        <v>30</v>
      </c>
    </row>
    <row r="14" spans="1:14" ht="15.75" thickTop="1" x14ac:dyDescent="0.2">
      <c r="A14" s="3" t="s">
        <v>31</v>
      </c>
    </row>
    <row r="15" spans="1:14" x14ac:dyDescent="0.2">
      <c r="A15" s="7">
        <v>5.0999999999999996</v>
      </c>
      <c r="B15" s="8">
        <v>5.0999999999999996</v>
      </c>
      <c r="C15" s="8">
        <v>5.0999999999999996</v>
      </c>
      <c r="D15" t="s">
        <v>40</v>
      </c>
    </row>
    <row r="16" spans="1:14" x14ac:dyDescent="0.2">
      <c r="A16" s="9">
        <f>SUM(A14:A15)</f>
        <v>5.0999999999999996</v>
      </c>
      <c r="B16" s="10">
        <f>SUM(B14:B15)</f>
        <v>5.0999999999999996</v>
      </c>
      <c r="C16" s="10">
        <f>SUM(C14:C15)</f>
        <v>5.0999999999999996</v>
      </c>
      <c r="D16" t="s">
        <v>32</v>
      </c>
    </row>
    <row r="17" spans="1:15" x14ac:dyDescent="0.2">
      <c r="A17" s="11" t="s">
        <v>33</v>
      </c>
      <c r="B17" s="8"/>
      <c r="C17" s="8"/>
    </row>
    <row r="18" spans="1:15" x14ac:dyDescent="0.2">
      <c r="A18" s="7">
        <v>27.6</v>
      </c>
      <c r="B18" s="8">
        <v>5.3508389999999997</v>
      </c>
      <c r="C18" s="8">
        <v>7.2244929999999998</v>
      </c>
      <c r="D18" t="s">
        <v>34</v>
      </c>
      <c r="G18" s="14" t="s">
        <v>35</v>
      </c>
      <c r="H18" s="14" t="s">
        <v>36</v>
      </c>
      <c r="I18" s="14" t="s">
        <v>61</v>
      </c>
      <c r="J18" s="14" t="s">
        <v>36</v>
      </c>
      <c r="K18" s="14" t="s">
        <v>37</v>
      </c>
      <c r="L18" s="14" t="s">
        <v>37</v>
      </c>
    </row>
    <row r="19" spans="1:15" x14ac:dyDescent="0.2">
      <c r="A19" s="7">
        <v>5.8</v>
      </c>
      <c r="B19" s="8">
        <v>1.6460980000000001</v>
      </c>
      <c r="C19" s="8">
        <v>2.0794619999999999</v>
      </c>
      <c r="D19" t="s">
        <v>34</v>
      </c>
      <c r="G19" s="14" t="s">
        <v>35</v>
      </c>
      <c r="H19" s="14">
        <v>1978</v>
      </c>
      <c r="I19" s="23">
        <v>28801</v>
      </c>
      <c r="J19" s="14">
        <v>1978</v>
      </c>
      <c r="K19" s="14" t="s">
        <v>37</v>
      </c>
      <c r="L19" s="14" t="s">
        <v>37</v>
      </c>
    </row>
    <row r="20" spans="1:15" x14ac:dyDescent="0.2">
      <c r="A20" s="7">
        <v>3.5</v>
      </c>
      <c r="B20" s="8">
        <v>1.1729480000000001</v>
      </c>
      <c r="C20" s="8">
        <v>1.560629</v>
      </c>
      <c r="D20" t="s">
        <v>34</v>
      </c>
      <c r="G20" s="14" t="s">
        <v>35</v>
      </c>
      <c r="H20" s="14">
        <v>1982</v>
      </c>
      <c r="I20" s="23">
        <v>30257</v>
      </c>
      <c r="J20" s="14">
        <v>1982</v>
      </c>
      <c r="K20" s="14" t="s">
        <v>37</v>
      </c>
      <c r="L20" s="14" t="s">
        <v>37</v>
      </c>
    </row>
    <row r="21" spans="1:15" x14ac:dyDescent="0.2">
      <c r="A21" s="7">
        <v>4.25</v>
      </c>
      <c r="B21" s="8">
        <v>1.563358</v>
      </c>
      <c r="C21" s="8">
        <v>2.2045509999999999</v>
      </c>
      <c r="D21" t="s">
        <v>34</v>
      </c>
      <c r="G21" s="14" t="s">
        <v>60</v>
      </c>
      <c r="H21" s="14">
        <v>1985</v>
      </c>
      <c r="I21" s="23">
        <v>33001</v>
      </c>
      <c r="J21" s="14">
        <v>1990</v>
      </c>
      <c r="K21" s="14" t="s">
        <v>37</v>
      </c>
      <c r="L21" s="14" t="s">
        <v>37</v>
      </c>
    </row>
    <row r="22" spans="1:15" hidden="1" x14ac:dyDescent="0.2">
      <c r="A22" s="40">
        <v>0</v>
      </c>
      <c r="B22" s="41">
        <v>0</v>
      </c>
      <c r="C22" s="41">
        <v>0</v>
      </c>
      <c r="D22" s="42" t="s">
        <v>54</v>
      </c>
      <c r="E22" s="43"/>
      <c r="F22" s="43"/>
      <c r="G22" s="44" t="s">
        <v>43</v>
      </c>
      <c r="H22" s="45">
        <v>2005</v>
      </c>
      <c r="I22" s="46">
        <v>39511</v>
      </c>
      <c r="J22" s="45">
        <v>2008</v>
      </c>
      <c r="K22" s="45" t="s">
        <v>44</v>
      </c>
      <c r="L22" s="45">
        <v>2010</v>
      </c>
      <c r="M22" s="39" t="s">
        <v>57</v>
      </c>
    </row>
    <row r="23" spans="1:15" ht="15.75" x14ac:dyDescent="0.25">
      <c r="A23" s="50">
        <v>2.5</v>
      </c>
      <c r="B23" s="52">
        <v>0.92386999999999997</v>
      </c>
      <c r="C23" s="52">
        <v>1.298835</v>
      </c>
      <c r="D23" s="47" t="s">
        <v>34</v>
      </c>
      <c r="G23" s="14" t="s">
        <v>35</v>
      </c>
      <c r="H23" s="22">
        <v>1988</v>
      </c>
      <c r="I23" s="21">
        <v>32455</v>
      </c>
      <c r="J23" s="22">
        <v>1988</v>
      </c>
      <c r="K23" s="22" t="s">
        <v>37</v>
      </c>
      <c r="L23" s="22" t="s">
        <v>37</v>
      </c>
      <c r="M23" s="28"/>
      <c r="N23" s="28"/>
      <c r="O23" s="14"/>
    </row>
    <row r="24" spans="1:15" ht="15.75" hidden="1" x14ac:dyDescent="0.25">
      <c r="A24" s="7">
        <v>0</v>
      </c>
      <c r="B24" s="8">
        <v>0</v>
      </c>
      <c r="C24" s="8">
        <v>0</v>
      </c>
      <c r="D24" t="s">
        <v>53</v>
      </c>
      <c r="G24" s="14" t="s">
        <v>41</v>
      </c>
      <c r="H24" s="14" t="s">
        <v>46</v>
      </c>
      <c r="I24" s="14" t="s">
        <v>47</v>
      </c>
      <c r="J24" s="14" t="s">
        <v>46</v>
      </c>
      <c r="K24" s="14" t="s">
        <v>42</v>
      </c>
      <c r="L24" s="14" t="s">
        <v>49</v>
      </c>
      <c r="M24" s="28" t="s">
        <v>56</v>
      </c>
      <c r="N24" s="28"/>
    </row>
    <row r="25" spans="1:15" ht="15.75" x14ac:dyDescent="0.25">
      <c r="A25" s="7">
        <v>5</v>
      </c>
      <c r="B25" s="8">
        <v>1.8575250000000001</v>
      </c>
      <c r="C25" s="8">
        <v>2.9611350000000001</v>
      </c>
      <c r="D25" t="s">
        <v>34</v>
      </c>
      <c r="G25" s="14" t="s">
        <v>60</v>
      </c>
      <c r="H25" s="14">
        <v>1990</v>
      </c>
      <c r="I25" s="23">
        <v>43907</v>
      </c>
      <c r="J25" s="14">
        <v>2020</v>
      </c>
      <c r="K25" s="14">
        <v>5</v>
      </c>
      <c r="L25" s="14">
        <v>2024</v>
      </c>
      <c r="M25" s="28"/>
      <c r="N25" s="28"/>
    </row>
    <row r="26" spans="1:15" ht="15.75" x14ac:dyDescent="0.25">
      <c r="A26" s="7">
        <v>1</v>
      </c>
      <c r="B26" s="8">
        <v>1</v>
      </c>
      <c r="C26" s="8">
        <v>1</v>
      </c>
      <c r="D26" t="s">
        <v>65</v>
      </c>
      <c r="G26" s="14" t="s">
        <v>41</v>
      </c>
      <c r="H26" s="14">
        <v>1999</v>
      </c>
      <c r="I26" s="23">
        <v>36284</v>
      </c>
      <c r="J26" s="14">
        <v>1999</v>
      </c>
      <c r="K26" s="14">
        <v>28</v>
      </c>
      <c r="L26" s="14">
        <v>2026</v>
      </c>
      <c r="M26" s="28"/>
      <c r="N26" s="28"/>
    </row>
    <row r="27" spans="1:15" ht="15.75" x14ac:dyDescent="0.25">
      <c r="A27" s="7">
        <v>3.9</v>
      </c>
      <c r="B27" s="8">
        <v>2.3853840000000002</v>
      </c>
      <c r="C27" s="8">
        <v>2.9378310000000001</v>
      </c>
      <c r="D27" t="s">
        <v>34</v>
      </c>
      <c r="G27" s="14" t="s">
        <v>60</v>
      </c>
      <c r="H27" s="14">
        <v>2005</v>
      </c>
      <c r="I27" s="23">
        <v>44138</v>
      </c>
      <c r="J27" s="14">
        <v>2021</v>
      </c>
      <c r="K27" s="14" t="s">
        <v>37</v>
      </c>
      <c r="L27" s="14" t="s">
        <v>37</v>
      </c>
      <c r="M27" s="28"/>
      <c r="N27" s="28"/>
    </row>
    <row r="28" spans="1:15" ht="15.75" x14ac:dyDescent="0.25">
      <c r="A28" s="7">
        <v>0.5</v>
      </c>
      <c r="B28" s="8">
        <v>0.28867399999999999</v>
      </c>
      <c r="C28" s="8">
        <v>0.37975100000000001</v>
      </c>
      <c r="D28" t="s">
        <v>58</v>
      </c>
      <c r="G28" s="14" t="s">
        <v>35</v>
      </c>
      <c r="H28" s="14">
        <v>2008</v>
      </c>
      <c r="I28" s="23">
        <v>39756</v>
      </c>
      <c r="J28" s="14">
        <v>2008</v>
      </c>
      <c r="K28" s="14" t="s">
        <v>37</v>
      </c>
      <c r="L28" s="14" t="s">
        <v>37</v>
      </c>
      <c r="M28" s="28"/>
      <c r="N28" s="28"/>
    </row>
    <row r="29" spans="1:15" ht="15.75" x14ac:dyDescent="0.25">
      <c r="A29" s="7">
        <v>1.4</v>
      </c>
      <c r="B29" s="8">
        <v>1.4</v>
      </c>
      <c r="C29" s="8">
        <v>1.4</v>
      </c>
      <c r="D29" t="s">
        <v>66</v>
      </c>
      <c r="G29" s="14" t="s">
        <v>41</v>
      </c>
      <c r="H29" s="14">
        <v>2008</v>
      </c>
      <c r="I29" s="23">
        <v>39756</v>
      </c>
      <c r="J29" s="14">
        <v>2008</v>
      </c>
      <c r="K29" s="14">
        <v>28</v>
      </c>
      <c r="L29" s="14">
        <v>2035</v>
      </c>
      <c r="M29" s="28"/>
      <c r="N29" s="28"/>
    </row>
    <row r="30" spans="1:15" ht="15.75" x14ac:dyDescent="0.25">
      <c r="A30" s="7">
        <v>1.6</v>
      </c>
      <c r="B30" s="8">
        <v>0.92375799999999997</v>
      </c>
      <c r="C30" s="8">
        <v>1.215203</v>
      </c>
      <c r="D30" t="s">
        <v>58</v>
      </c>
      <c r="G30" s="14" t="s">
        <v>60</v>
      </c>
      <c r="H30" s="14">
        <v>2012</v>
      </c>
      <c r="I30" s="23">
        <v>42682</v>
      </c>
      <c r="J30" s="14">
        <v>2017</v>
      </c>
      <c r="K30" s="14" t="s">
        <v>37</v>
      </c>
      <c r="L30" s="14" t="s">
        <v>37</v>
      </c>
      <c r="M30" s="28"/>
      <c r="N30" s="28"/>
    </row>
    <row r="31" spans="1:15" ht="15.75" x14ac:dyDescent="0.25">
      <c r="A31" s="7">
        <v>4.3</v>
      </c>
      <c r="B31" s="8">
        <v>4.3</v>
      </c>
      <c r="C31" s="8">
        <v>4.3</v>
      </c>
      <c r="D31" t="s">
        <v>98</v>
      </c>
      <c r="G31" s="14" t="s">
        <v>98</v>
      </c>
      <c r="H31" s="14">
        <v>2019</v>
      </c>
      <c r="I31" s="23">
        <v>43774</v>
      </c>
      <c r="J31" s="14">
        <v>2020</v>
      </c>
      <c r="K31" s="14">
        <v>5</v>
      </c>
      <c r="L31" s="14">
        <v>2024</v>
      </c>
      <c r="M31" s="78"/>
    </row>
    <row r="32" spans="1:15" ht="15.75" x14ac:dyDescent="0.25">
      <c r="A32" s="7">
        <v>0.5</v>
      </c>
      <c r="B32" s="8">
        <v>0.38458900000000001</v>
      </c>
      <c r="C32" s="8">
        <v>0.412105</v>
      </c>
      <c r="D32" s="47" t="s">
        <v>67</v>
      </c>
      <c r="G32" s="49" t="s">
        <v>35</v>
      </c>
      <c r="H32" s="14">
        <v>2017</v>
      </c>
      <c r="I32" s="23">
        <v>44684</v>
      </c>
      <c r="J32" s="14">
        <v>2022</v>
      </c>
      <c r="K32" s="14">
        <v>5</v>
      </c>
      <c r="L32" s="14">
        <v>2026</v>
      </c>
      <c r="M32" s="78"/>
    </row>
    <row r="33" spans="1:14" ht="15.75" x14ac:dyDescent="0.25">
      <c r="A33" s="7">
        <v>5</v>
      </c>
      <c r="B33" s="8">
        <v>5</v>
      </c>
      <c r="C33" s="8">
        <v>5</v>
      </c>
      <c r="D33" s="47" t="s">
        <v>102</v>
      </c>
      <c r="G33" s="49" t="s">
        <v>43</v>
      </c>
      <c r="H33" s="14">
        <v>2022</v>
      </c>
      <c r="I33" s="23">
        <v>44684</v>
      </c>
      <c r="J33" s="14">
        <v>2022</v>
      </c>
      <c r="K33" s="14">
        <v>5</v>
      </c>
      <c r="L33" s="14">
        <v>2026</v>
      </c>
      <c r="M33" s="78"/>
    </row>
    <row r="34" spans="1:14" x14ac:dyDescent="0.2">
      <c r="A34" s="9">
        <f>SUM(A18:A33)</f>
        <v>66.849999999999994</v>
      </c>
      <c r="B34" s="10">
        <f>SUM(B18:B33)</f>
        <v>28.197043000000001</v>
      </c>
      <c r="C34" s="10">
        <f>SUM(C18:C33)</f>
        <v>33.973995000000002</v>
      </c>
      <c r="D34" t="s">
        <v>38</v>
      </c>
    </row>
    <row r="35" spans="1:14" ht="15.75" thickBot="1" x14ac:dyDescent="0.25">
      <c r="A35" s="7"/>
      <c r="B35" s="8"/>
      <c r="C35" s="8"/>
    </row>
    <row r="36" spans="1:14" ht="16.5" thickTop="1" x14ac:dyDescent="0.25">
      <c r="A36" s="71">
        <f>(+A16+A34)</f>
        <v>71.949999999999989</v>
      </c>
      <c r="B36" s="72">
        <f>(+B16+B34)</f>
        <v>33.297043000000002</v>
      </c>
      <c r="C36" s="72">
        <f>(+C16+C34)</f>
        <v>39.073995000000004</v>
      </c>
      <c r="D36" t="s">
        <v>45</v>
      </c>
    </row>
    <row r="39" spans="1:14" x14ac:dyDescent="0.2">
      <c r="A39" s="7"/>
      <c r="B39" s="8"/>
      <c r="C39" s="8"/>
    </row>
    <row r="40" spans="1:14" x14ac:dyDescent="0.2">
      <c r="A40" s="15" t="s">
        <v>14</v>
      </c>
      <c r="B40" s="17" t="s">
        <v>15</v>
      </c>
      <c r="C40" s="17" t="s">
        <v>12</v>
      </c>
      <c r="I40" s="19" t="s">
        <v>51</v>
      </c>
      <c r="J40" s="4"/>
      <c r="K40" s="4"/>
      <c r="L40" s="4"/>
      <c r="M40" s="54"/>
      <c r="N40" s="31"/>
    </row>
    <row r="41" spans="1:14" x14ac:dyDescent="0.2">
      <c r="A41" s="15" t="s">
        <v>16</v>
      </c>
      <c r="B41" s="17" t="s">
        <v>17</v>
      </c>
      <c r="C41" s="17" t="s">
        <v>17</v>
      </c>
      <c r="I41" s="14" t="s">
        <v>4</v>
      </c>
      <c r="J41" s="14" t="s">
        <v>4</v>
      </c>
      <c r="K41" s="14" t="s">
        <v>4</v>
      </c>
      <c r="L41" s="14" t="s">
        <v>4</v>
      </c>
      <c r="M41" s="33"/>
      <c r="N41" s="33"/>
    </row>
    <row r="42" spans="1:14" ht="15.75" thickBot="1" x14ac:dyDescent="0.25">
      <c r="A42" s="16" t="s">
        <v>22</v>
      </c>
      <c r="B42" s="18" t="s">
        <v>23</v>
      </c>
      <c r="C42" s="18" t="s">
        <v>23</v>
      </c>
      <c r="D42" s="1" t="s">
        <v>24</v>
      </c>
      <c r="E42" s="1"/>
      <c r="F42" s="1"/>
      <c r="G42" s="1"/>
      <c r="H42" s="1"/>
      <c r="I42" s="13" t="s">
        <v>11</v>
      </c>
      <c r="J42" s="13" t="s">
        <v>12</v>
      </c>
      <c r="K42" s="13" t="s">
        <v>3</v>
      </c>
      <c r="L42" s="13" t="s">
        <v>39</v>
      </c>
      <c r="M42" s="34"/>
      <c r="N42" s="35"/>
    </row>
    <row r="43" spans="1:14" ht="15.75" thickTop="1" x14ac:dyDescent="0.2">
      <c r="A43" s="3" t="s">
        <v>31</v>
      </c>
      <c r="I43" s="6"/>
      <c r="J43" s="6"/>
      <c r="K43" s="6"/>
      <c r="L43" s="6"/>
      <c r="M43" s="31"/>
      <c r="N43" s="31"/>
    </row>
    <row r="44" spans="1:14" x14ac:dyDescent="0.2">
      <c r="A44" s="7">
        <f>A15</f>
        <v>5.0999999999999996</v>
      </c>
      <c r="B44" s="8">
        <f>B15</f>
        <v>5.0999999999999996</v>
      </c>
      <c r="C44" s="8">
        <f>C15</f>
        <v>5.0999999999999996</v>
      </c>
      <c r="D44" t="s">
        <v>40</v>
      </c>
      <c r="I44" s="6">
        <f>($I$9*B44)/1000</f>
        <v>1297996.3589999999</v>
      </c>
      <c r="J44" s="6">
        <f>($J$9*C44)/1000</f>
        <v>95990.466</v>
      </c>
      <c r="K44" s="6">
        <f>($K$9*A44)/1000</f>
        <v>65319.26999999999</v>
      </c>
      <c r="L44" s="6">
        <f>SUM(I44:K44)</f>
        <v>1459306.095</v>
      </c>
      <c r="M44" s="26"/>
      <c r="N44" s="25"/>
    </row>
    <row r="45" spans="1:14" x14ac:dyDescent="0.2">
      <c r="A45" s="9">
        <f>SUM(A43:A44)</f>
        <v>5.0999999999999996</v>
      </c>
      <c r="B45" s="10">
        <f>SUM(B43:B44)</f>
        <v>5.0999999999999996</v>
      </c>
      <c r="C45" s="10">
        <f>SUM(C43:C44)</f>
        <v>5.0999999999999996</v>
      </c>
      <c r="D45" t="s">
        <v>32</v>
      </c>
      <c r="I45" s="2">
        <f>SUM(I44:I44)</f>
        <v>1297996.3589999999</v>
      </c>
      <c r="J45" s="2">
        <f>SUM(J44:J44)</f>
        <v>95990.466</v>
      </c>
      <c r="K45" s="2">
        <f>SUM(K44:K44)</f>
        <v>65319.26999999999</v>
      </c>
      <c r="L45" s="2">
        <f>SUM(L44:L44)</f>
        <v>1459306.095</v>
      </c>
      <c r="M45" s="26"/>
      <c r="N45" s="25"/>
    </row>
    <row r="46" spans="1:14" x14ac:dyDescent="0.2">
      <c r="A46" s="11" t="s">
        <v>33</v>
      </c>
      <c r="B46" s="8"/>
      <c r="C46" s="8"/>
      <c r="I46" s="6"/>
      <c r="J46" s="6"/>
      <c r="K46" s="6"/>
      <c r="L46" s="6"/>
      <c r="M46" s="31"/>
      <c r="N46" s="31"/>
    </row>
    <row r="47" spans="1:14" x14ac:dyDescent="0.2">
      <c r="A47" s="7">
        <f t="shared" ref="A47:C54" si="1">A18</f>
        <v>27.6</v>
      </c>
      <c r="B47" s="8">
        <f t="shared" si="1"/>
        <v>5.3508389999999997</v>
      </c>
      <c r="C47" s="8">
        <f t="shared" si="1"/>
        <v>7.2244929999999998</v>
      </c>
      <c r="D47" t="s">
        <v>34</v>
      </c>
      <c r="I47" s="6">
        <f t="shared" ref="I47:I52" si="2">($I$9*B47)/1000</f>
        <v>1361837.1646265099</v>
      </c>
      <c r="J47" s="6">
        <f t="shared" ref="J47:J52" si="3">($J$9*C47)/1000</f>
        <v>135976.95091838</v>
      </c>
      <c r="K47" s="6">
        <f t="shared" ref="K47:K52" si="4">($K$9*A47)/1000</f>
        <v>353492.52</v>
      </c>
      <c r="L47" s="6">
        <f t="shared" ref="L47:L52" si="5">SUM(I47:K47)</f>
        <v>1851306.6355448898</v>
      </c>
      <c r="M47" s="26"/>
      <c r="N47" s="25"/>
    </row>
    <row r="48" spans="1:14" x14ac:dyDescent="0.2">
      <c r="A48" s="7">
        <f t="shared" si="1"/>
        <v>5.8</v>
      </c>
      <c r="B48" s="8">
        <f t="shared" si="1"/>
        <v>1.6460980000000001</v>
      </c>
      <c r="C48" s="8">
        <f t="shared" si="1"/>
        <v>2.0794619999999999</v>
      </c>
      <c r="D48" t="s">
        <v>34</v>
      </c>
      <c r="I48" s="6">
        <f t="shared" si="2"/>
        <v>418946.90403082001</v>
      </c>
      <c r="J48" s="6">
        <f t="shared" si="3"/>
        <v>39138.926746919999</v>
      </c>
      <c r="K48" s="6">
        <f t="shared" si="4"/>
        <v>74284.66</v>
      </c>
      <c r="L48" s="6">
        <f t="shared" si="5"/>
        <v>532370.49077774002</v>
      </c>
      <c r="M48" s="26"/>
      <c r="N48" s="25"/>
    </row>
    <row r="49" spans="1:15" x14ac:dyDescent="0.2">
      <c r="A49" s="7">
        <f t="shared" si="1"/>
        <v>3.5</v>
      </c>
      <c r="B49" s="8">
        <f t="shared" si="1"/>
        <v>1.1729480000000001</v>
      </c>
      <c r="C49" s="8">
        <f t="shared" si="1"/>
        <v>1.560629</v>
      </c>
      <c r="D49" t="s">
        <v>34</v>
      </c>
      <c r="I49" s="6">
        <f t="shared" si="2"/>
        <v>298525.92809732002</v>
      </c>
      <c r="J49" s="6">
        <f t="shared" si="3"/>
        <v>29373.628424140003</v>
      </c>
      <c r="K49" s="6">
        <f t="shared" si="4"/>
        <v>44826.95</v>
      </c>
      <c r="L49" s="6">
        <f t="shared" si="5"/>
        <v>372726.50652146002</v>
      </c>
      <c r="M49" s="26"/>
      <c r="N49" s="25"/>
    </row>
    <row r="50" spans="1:15" x14ac:dyDescent="0.2">
      <c r="A50" s="7">
        <f t="shared" si="1"/>
        <v>4.25</v>
      </c>
      <c r="B50" s="8">
        <f t="shared" si="1"/>
        <v>1.563358</v>
      </c>
      <c r="C50" s="8">
        <f t="shared" si="1"/>
        <v>2.2045509999999999</v>
      </c>
      <c r="D50" t="s">
        <v>34</v>
      </c>
      <c r="I50" s="6">
        <f t="shared" si="2"/>
        <v>397888.82192422001</v>
      </c>
      <c r="J50" s="6">
        <f t="shared" si="3"/>
        <v>41493.309374659999</v>
      </c>
      <c r="K50" s="6">
        <f t="shared" si="4"/>
        <v>54432.724999999999</v>
      </c>
      <c r="L50" s="6">
        <f t="shared" si="5"/>
        <v>493814.85629888001</v>
      </c>
      <c r="M50" s="26"/>
      <c r="N50" s="25"/>
    </row>
    <row r="51" spans="1:15" hidden="1" x14ac:dyDescent="0.2">
      <c r="A51" s="7">
        <f t="shared" si="1"/>
        <v>0</v>
      </c>
      <c r="B51" s="8">
        <f t="shared" si="1"/>
        <v>0</v>
      </c>
      <c r="C51" s="8">
        <f t="shared" si="1"/>
        <v>0</v>
      </c>
      <c r="D51" s="42" t="s">
        <v>55</v>
      </c>
      <c r="E51" s="43"/>
      <c r="F51" s="43"/>
      <c r="I51" s="6">
        <f t="shared" si="2"/>
        <v>0</v>
      </c>
      <c r="J51" s="6">
        <f t="shared" si="3"/>
        <v>0</v>
      </c>
      <c r="K51" s="6">
        <f t="shared" si="4"/>
        <v>0</v>
      </c>
      <c r="L51" s="6">
        <f t="shared" si="5"/>
        <v>0</v>
      </c>
      <c r="M51" s="31"/>
      <c r="N51" s="25"/>
    </row>
    <row r="52" spans="1:15" x14ac:dyDescent="0.2">
      <c r="A52" s="7">
        <f t="shared" si="1"/>
        <v>2.5</v>
      </c>
      <c r="B52" s="8">
        <f t="shared" si="1"/>
        <v>0.92386999999999997</v>
      </c>
      <c r="C52" s="8">
        <f t="shared" si="1"/>
        <v>1.298835</v>
      </c>
      <c r="D52" s="47" t="s">
        <v>34</v>
      </c>
      <c r="I52" s="6">
        <f t="shared" si="2"/>
        <v>235133.3129783</v>
      </c>
      <c r="J52" s="6">
        <f t="shared" si="3"/>
        <v>24446.230766100001</v>
      </c>
      <c r="K52" s="6">
        <f t="shared" si="4"/>
        <v>32019.25</v>
      </c>
      <c r="L52" s="6">
        <f t="shared" si="5"/>
        <v>291598.79374440003</v>
      </c>
      <c r="M52" s="31"/>
      <c r="N52" s="25"/>
    </row>
    <row r="53" spans="1:15" hidden="1" x14ac:dyDescent="0.2">
      <c r="A53" s="7">
        <f t="shared" si="1"/>
        <v>0</v>
      </c>
      <c r="B53" s="8">
        <f t="shared" si="1"/>
        <v>0</v>
      </c>
      <c r="C53" s="8">
        <f t="shared" si="1"/>
        <v>0</v>
      </c>
      <c r="D53" t="s">
        <v>48</v>
      </c>
      <c r="I53" s="6">
        <f t="shared" ref="I53:I59" si="6">($I$9*B53)/1000</f>
        <v>0</v>
      </c>
      <c r="J53" s="6">
        <f t="shared" ref="J53:J59" si="7">($J$9*C53)/1000</f>
        <v>0</v>
      </c>
      <c r="K53" s="6">
        <f t="shared" ref="K53:K59" si="8">($K$9*A53)/1000</f>
        <v>0</v>
      </c>
      <c r="L53" s="6">
        <f t="shared" ref="L53:L59" si="9">SUM(I53:K53)</f>
        <v>0</v>
      </c>
      <c r="M53" s="31"/>
      <c r="N53" s="25"/>
      <c r="O53" s="29"/>
    </row>
    <row r="54" spans="1:15" x14ac:dyDescent="0.2">
      <c r="A54" s="7">
        <f t="shared" si="1"/>
        <v>5</v>
      </c>
      <c r="B54" s="8">
        <f t="shared" si="1"/>
        <v>1.8575250000000001</v>
      </c>
      <c r="C54" s="8">
        <f t="shared" si="1"/>
        <v>2.9611350000000001</v>
      </c>
      <c r="D54" t="s">
        <v>34</v>
      </c>
      <c r="I54" s="6">
        <f t="shared" si="6"/>
        <v>472756.99740225007</v>
      </c>
      <c r="J54" s="6">
        <f t="shared" si="7"/>
        <v>55733.4761841</v>
      </c>
      <c r="K54" s="6">
        <f t="shared" si="8"/>
        <v>64038.5</v>
      </c>
      <c r="L54" s="6">
        <f t="shared" si="9"/>
        <v>592528.9735863501</v>
      </c>
      <c r="M54" s="31"/>
      <c r="N54" s="25"/>
      <c r="O54" s="29"/>
    </row>
    <row r="55" spans="1:15" x14ac:dyDescent="0.2">
      <c r="A55" s="7">
        <f t="shared" ref="A55:A62" si="10">A26</f>
        <v>1</v>
      </c>
      <c r="B55" s="8">
        <f t="shared" ref="B55:C57" si="11">B26</f>
        <v>1</v>
      </c>
      <c r="C55" s="8">
        <f>C26</f>
        <v>1</v>
      </c>
      <c r="D55" t="s">
        <v>65</v>
      </c>
      <c r="I55" s="6">
        <f t="shared" si="6"/>
        <v>254509.09</v>
      </c>
      <c r="J55" s="6">
        <f t="shared" si="7"/>
        <v>18821.66</v>
      </c>
      <c r="K55" s="6">
        <f t="shared" si="8"/>
        <v>12807.7</v>
      </c>
      <c r="L55" s="6">
        <f t="shared" si="9"/>
        <v>286138.45</v>
      </c>
      <c r="M55" s="31"/>
      <c r="N55" s="25"/>
      <c r="O55" s="29"/>
    </row>
    <row r="56" spans="1:15" x14ac:dyDescent="0.2">
      <c r="A56" s="7">
        <f t="shared" si="10"/>
        <v>3.9</v>
      </c>
      <c r="B56" s="8">
        <f t="shared" si="11"/>
        <v>2.3853840000000002</v>
      </c>
      <c r="C56" s="8">
        <f t="shared" si="11"/>
        <v>2.9378310000000001</v>
      </c>
      <c r="D56" t="s">
        <v>34</v>
      </c>
      <c r="I56" s="6">
        <f t="shared" si="6"/>
        <v>607101.91114056006</v>
      </c>
      <c r="J56" s="6">
        <f t="shared" si="7"/>
        <v>55294.856219460002</v>
      </c>
      <c r="K56" s="6">
        <f t="shared" si="8"/>
        <v>49950.03</v>
      </c>
      <c r="L56" s="6">
        <f t="shared" si="9"/>
        <v>712346.79736002011</v>
      </c>
      <c r="M56" s="31"/>
      <c r="N56" s="25"/>
      <c r="O56" s="29"/>
    </row>
    <row r="57" spans="1:15" x14ac:dyDescent="0.2">
      <c r="A57" s="7">
        <f t="shared" si="10"/>
        <v>0.5</v>
      </c>
      <c r="B57" s="8">
        <f t="shared" si="11"/>
        <v>0.28867399999999999</v>
      </c>
      <c r="C57" s="8">
        <f t="shared" si="11"/>
        <v>0.37975100000000001</v>
      </c>
      <c r="D57" t="s">
        <v>58</v>
      </c>
      <c r="I57" s="6">
        <f t="shared" si="6"/>
        <v>73470.157046659995</v>
      </c>
      <c r="J57" s="6">
        <f t="shared" si="7"/>
        <v>7147.5442066599999</v>
      </c>
      <c r="K57" s="6">
        <f t="shared" si="8"/>
        <v>6403.85</v>
      </c>
      <c r="L57" s="6">
        <f t="shared" si="9"/>
        <v>87021.551253319994</v>
      </c>
      <c r="M57" s="31"/>
      <c r="N57" s="25"/>
      <c r="O57" s="29"/>
    </row>
    <row r="58" spans="1:15" x14ac:dyDescent="0.2">
      <c r="A58" s="7">
        <f t="shared" si="10"/>
        <v>1.4</v>
      </c>
      <c r="B58" s="8">
        <f t="shared" ref="B58:C61" si="12">B29</f>
        <v>1.4</v>
      </c>
      <c r="C58" s="8">
        <f t="shared" si="12"/>
        <v>1.4</v>
      </c>
      <c r="D58" t="s">
        <v>66</v>
      </c>
      <c r="I58" s="6">
        <f t="shared" si="6"/>
        <v>356312.72600000002</v>
      </c>
      <c r="J58" s="6">
        <f t="shared" si="7"/>
        <v>26350.324000000001</v>
      </c>
      <c r="K58" s="6">
        <f t="shared" si="8"/>
        <v>17930.78</v>
      </c>
      <c r="L58" s="6">
        <f t="shared" si="9"/>
        <v>400593.83000000007</v>
      </c>
      <c r="M58" s="31"/>
      <c r="N58" s="25"/>
      <c r="O58" s="29"/>
    </row>
    <row r="59" spans="1:15" x14ac:dyDescent="0.2">
      <c r="A59" s="7">
        <f t="shared" si="10"/>
        <v>1.6</v>
      </c>
      <c r="B59" s="8">
        <f t="shared" si="12"/>
        <v>0.92375799999999997</v>
      </c>
      <c r="C59" s="8">
        <f t="shared" si="12"/>
        <v>1.215203</v>
      </c>
      <c r="D59" t="s">
        <v>58</v>
      </c>
      <c r="I59" s="6">
        <f t="shared" si="6"/>
        <v>235104.80796021997</v>
      </c>
      <c r="J59" s="6">
        <f t="shared" si="7"/>
        <v>22872.13769698</v>
      </c>
      <c r="K59" s="6">
        <f t="shared" si="8"/>
        <v>20492.32</v>
      </c>
      <c r="L59" s="6">
        <f t="shared" si="9"/>
        <v>278469.26565719995</v>
      </c>
      <c r="M59" s="31"/>
      <c r="N59" s="25"/>
      <c r="O59" s="29"/>
    </row>
    <row r="60" spans="1:15" x14ac:dyDescent="0.2">
      <c r="A60" s="7">
        <v>4.5</v>
      </c>
      <c r="B60" s="8">
        <v>4.5</v>
      </c>
      <c r="C60" s="8">
        <v>4.5</v>
      </c>
      <c r="D60" t="str">
        <f>D31</f>
        <v>Substitution</v>
      </c>
      <c r="I60" s="6">
        <f>($I$9*B60)/1000</f>
        <v>1145290.905</v>
      </c>
      <c r="J60" s="6">
        <f>($J$9*C60)/1000</f>
        <v>84697.47</v>
      </c>
      <c r="K60" s="6">
        <f>($K$9*A60)/1000</f>
        <v>57634.65</v>
      </c>
      <c r="L60" s="6">
        <f>SUM(I60:K60)</f>
        <v>1287623.0249999999</v>
      </c>
      <c r="M60" s="31"/>
      <c r="N60" s="25"/>
      <c r="O60" s="29"/>
    </row>
    <row r="61" spans="1:15" x14ac:dyDescent="0.2">
      <c r="A61" s="7">
        <f t="shared" si="10"/>
        <v>0.5</v>
      </c>
      <c r="B61" s="8">
        <f t="shared" si="12"/>
        <v>0.38458900000000001</v>
      </c>
      <c r="C61" s="8">
        <f t="shared" si="12"/>
        <v>0.412105</v>
      </c>
      <c r="D61" s="47" t="s">
        <v>67</v>
      </c>
      <c r="I61" s="6">
        <f>($I$9*B61)/1000</f>
        <v>97881.39641401</v>
      </c>
      <c r="J61" s="6">
        <f>($J$9*C61)/1000</f>
        <v>7756.5001942999997</v>
      </c>
      <c r="K61" s="6">
        <f>($K$9*A61)/1000</f>
        <v>6403.85</v>
      </c>
      <c r="L61" s="6">
        <f>SUM(I61:K61)</f>
        <v>112041.74660831</v>
      </c>
      <c r="M61" s="31"/>
      <c r="N61" s="25"/>
      <c r="O61" s="29"/>
    </row>
    <row r="62" spans="1:15" x14ac:dyDescent="0.2">
      <c r="A62" s="7">
        <f t="shared" si="10"/>
        <v>5</v>
      </c>
      <c r="B62" s="8">
        <f t="shared" ref="B62:D62" si="13">B33</f>
        <v>5</v>
      </c>
      <c r="C62" s="8">
        <f t="shared" si="13"/>
        <v>5</v>
      </c>
      <c r="D62" s="8" t="str">
        <f t="shared" si="13"/>
        <v>Emergency ($1,300,000)</v>
      </c>
      <c r="I62" s="6">
        <f>($I$9*B62)/1000</f>
        <v>1272545.45</v>
      </c>
      <c r="J62" s="6">
        <f>($J$9*C62)/1000</f>
        <v>94108.3</v>
      </c>
      <c r="K62" s="6">
        <f>($J$9*A62)/1000</f>
        <v>94108.3</v>
      </c>
      <c r="L62" s="6">
        <f>SUM(I62:K62)</f>
        <v>1460762.05</v>
      </c>
      <c r="M62" s="31"/>
      <c r="N62" s="25"/>
      <c r="O62" s="29"/>
    </row>
    <row r="63" spans="1:15" x14ac:dyDescent="0.2">
      <c r="A63" s="9">
        <f>SUM(A47:A62)</f>
        <v>67.05</v>
      </c>
      <c r="B63" s="10">
        <f>SUM(B47:B62)</f>
        <v>28.397043</v>
      </c>
      <c r="C63" s="10">
        <f>SUM(C47:C62)</f>
        <v>34.173994999999998</v>
      </c>
      <c r="D63" t="s">
        <v>38</v>
      </c>
      <c r="I63" s="2">
        <f>SUM(I47:I62)</f>
        <v>7227305.5726208696</v>
      </c>
      <c r="J63" s="2">
        <f t="shared" ref="J63:L63" si="14">SUM(J47:J62)</f>
        <v>643211.3147317</v>
      </c>
      <c r="K63" s="2">
        <f t="shared" si="14"/>
        <v>888826.08500000008</v>
      </c>
      <c r="L63" s="2">
        <f t="shared" si="14"/>
        <v>8759342.9723525699</v>
      </c>
      <c r="M63" s="26"/>
      <c r="N63" s="25"/>
    </row>
    <row r="64" spans="1:15" ht="15.75" thickBot="1" x14ac:dyDescent="0.25">
      <c r="A64" s="7"/>
      <c r="B64" s="8"/>
      <c r="C64" s="8"/>
      <c r="I64" s="6"/>
      <c r="J64" s="6"/>
      <c r="K64" s="6"/>
      <c r="L64" s="6"/>
      <c r="M64" s="31"/>
      <c r="N64" s="31"/>
    </row>
    <row r="65" spans="1:16" ht="16.5" thickTop="1" x14ac:dyDescent="0.25">
      <c r="A65" s="71">
        <f>(+A45+A63)</f>
        <v>72.149999999999991</v>
      </c>
      <c r="B65" s="72">
        <f>(+B45+B63)</f>
        <v>33.497042999999998</v>
      </c>
      <c r="C65" s="72">
        <f>(+C45+C63)</f>
        <v>39.273994999999999</v>
      </c>
      <c r="D65" t="s">
        <v>45</v>
      </c>
      <c r="I65" s="12">
        <f>(+I45+I63)</f>
        <v>8525301.9316208698</v>
      </c>
      <c r="J65" s="12">
        <f>(+J45+J63)</f>
        <v>739201.78073170001</v>
      </c>
      <c r="K65" s="12">
        <f>(+K45+K63)</f>
        <v>954145.3550000001</v>
      </c>
      <c r="L65" s="12">
        <f>(+L45+L63)</f>
        <v>10218649.067352571</v>
      </c>
      <c r="M65" s="36"/>
      <c r="N65" s="36"/>
    </row>
    <row r="66" spans="1:16" x14ac:dyDescent="0.2">
      <c r="I66" s="6"/>
      <c r="J66" s="6"/>
      <c r="K66" s="6"/>
      <c r="L66" s="6"/>
    </row>
    <row r="67" spans="1:16" x14ac:dyDescent="0.2">
      <c r="F67" s="37"/>
      <c r="G67" s="37"/>
      <c r="H67" s="55"/>
      <c r="I67" s="69"/>
      <c r="J67" s="56"/>
      <c r="K67" s="53"/>
      <c r="L67" s="53"/>
      <c r="M67" s="53"/>
      <c r="N67" s="53"/>
      <c r="O67" s="67"/>
      <c r="P67" s="68"/>
    </row>
    <row r="68" spans="1:16" x14ac:dyDescent="0.2">
      <c r="F68" s="38"/>
      <c r="G68" s="38"/>
      <c r="H68" s="57"/>
      <c r="I68" s="70"/>
      <c r="J68" s="59"/>
      <c r="K68" s="60"/>
      <c r="L68" s="60"/>
      <c r="M68" s="64"/>
      <c r="N68" s="64"/>
      <c r="O68" s="62"/>
      <c r="P68" s="62"/>
    </row>
    <row r="69" spans="1:16" ht="15.75" x14ac:dyDescent="0.25">
      <c r="D69" s="24" t="s">
        <v>95</v>
      </c>
      <c r="F69" s="38"/>
      <c r="G69" s="38"/>
      <c r="H69" s="57"/>
      <c r="I69" s="58"/>
      <c r="J69" s="59"/>
      <c r="K69" s="60"/>
      <c r="L69" s="60"/>
      <c r="M69" s="62"/>
      <c r="N69" s="62"/>
      <c r="O69" s="62"/>
      <c r="P69" s="62"/>
    </row>
    <row r="70" spans="1:16" x14ac:dyDescent="0.2">
      <c r="F70" s="38"/>
      <c r="G70" s="38"/>
      <c r="H70" s="57"/>
      <c r="I70" s="58"/>
      <c r="J70" s="59"/>
      <c r="K70" s="60"/>
      <c r="L70" s="60"/>
      <c r="M70" s="62"/>
      <c r="N70" s="62"/>
      <c r="O70" s="62"/>
      <c r="P70" s="62"/>
    </row>
    <row r="71" spans="1:16" x14ac:dyDescent="0.2">
      <c r="F71" s="38"/>
      <c r="G71" s="38"/>
      <c r="H71" s="57"/>
      <c r="I71" s="58"/>
      <c r="J71" s="59"/>
      <c r="K71" s="60"/>
      <c r="L71" s="60"/>
      <c r="M71" s="64"/>
      <c r="N71" s="64"/>
      <c r="O71" s="62"/>
      <c r="P71" s="62"/>
    </row>
    <row r="72" spans="1:16" x14ac:dyDescent="0.2">
      <c r="F72" s="38"/>
      <c r="G72" s="38"/>
      <c r="H72" s="57"/>
      <c r="I72" s="58"/>
      <c r="J72" s="59"/>
      <c r="K72" s="60"/>
      <c r="L72" s="60"/>
      <c r="M72" s="64"/>
      <c r="N72" s="64"/>
      <c r="O72" s="62"/>
      <c r="P72" s="62"/>
    </row>
    <row r="73" spans="1:16" x14ac:dyDescent="0.2">
      <c r="F73" s="38"/>
      <c r="G73" s="38"/>
      <c r="H73" s="57"/>
      <c r="I73" s="58"/>
      <c r="J73" s="59"/>
      <c r="K73" s="60"/>
      <c r="L73" s="60"/>
      <c r="M73" s="64"/>
      <c r="N73" s="64"/>
      <c r="O73" s="62"/>
      <c r="P73" s="62"/>
    </row>
    <row r="74" spans="1:16" x14ac:dyDescent="0.2">
      <c r="F74" s="38"/>
      <c r="G74" s="38"/>
      <c r="H74" s="57"/>
      <c r="I74" s="58"/>
      <c r="J74" s="59"/>
      <c r="K74" s="60"/>
      <c r="L74" s="60"/>
      <c r="M74" s="64"/>
      <c r="N74" s="64"/>
      <c r="O74" s="62"/>
      <c r="P74" s="62"/>
    </row>
    <row r="75" spans="1:16" x14ac:dyDescent="0.2">
      <c r="F75" s="27"/>
      <c r="G75" s="27"/>
      <c r="H75" s="61"/>
      <c r="I75" s="63"/>
      <c r="J75" s="63"/>
      <c r="K75" s="61"/>
      <c r="L75" s="64"/>
      <c r="M75" s="64"/>
      <c r="N75" s="64"/>
      <c r="O75" s="54"/>
      <c r="P75" s="54"/>
    </row>
    <row r="76" spans="1:16" x14ac:dyDescent="0.2">
      <c r="H76" s="54"/>
      <c r="I76" s="54"/>
      <c r="J76" s="54"/>
      <c r="K76" s="54"/>
      <c r="L76" s="66"/>
      <c r="M76" s="66"/>
      <c r="N76" s="66"/>
      <c r="O76" s="54"/>
      <c r="P76" s="54"/>
    </row>
    <row r="77" spans="1:16" x14ac:dyDescent="0.2">
      <c r="H77" s="54"/>
      <c r="I77" s="65"/>
      <c r="J77" s="54"/>
      <c r="K77" s="54"/>
      <c r="L77" s="66"/>
      <c r="M77" s="62"/>
      <c r="N77" s="62"/>
      <c r="O77" s="54"/>
      <c r="P77" s="54"/>
    </row>
    <row r="78" spans="1:16" x14ac:dyDescent="0.2">
      <c r="H78" s="54"/>
      <c r="I78" s="54"/>
      <c r="J78" s="54"/>
      <c r="K78" s="54"/>
      <c r="L78" s="54"/>
      <c r="M78" s="54"/>
      <c r="N78" s="54"/>
      <c r="O78" s="54"/>
      <c r="P78" s="54"/>
    </row>
    <row r="80" spans="1:16" x14ac:dyDescent="0.2">
      <c r="I80" s="31"/>
    </row>
    <row r="81" spans="9:9" x14ac:dyDescent="0.2">
      <c r="I81" s="31"/>
    </row>
    <row r="82" spans="9:9" x14ac:dyDescent="0.2">
      <c r="I82" s="31"/>
    </row>
    <row r="83" spans="9:9" ht="15.75" x14ac:dyDescent="0.25">
      <c r="I83" s="32"/>
    </row>
  </sheetData>
  <mergeCells count="1">
    <mergeCell ref="K2:N3"/>
  </mergeCells>
  <pageMargins left="0.7" right="0.7" top="0.75" bottom="0.75" header="0.3" footer="0.3"/>
  <pageSetup scale="5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74"/>
  <sheetViews>
    <sheetView topLeftCell="A19" workbookViewId="0">
      <selection activeCell="A47" sqref="A47:XFD47"/>
    </sheetView>
  </sheetViews>
  <sheetFormatPr defaultColWidth="13.21875" defaultRowHeight="15" x14ac:dyDescent="0.2"/>
  <cols>
    <col min="1" max="1" width="12.77734375" customWidth="1"/>
    <col min="2" max="6" width="12.21875" customWidth="1"/>
    <col min="7" max="7" width="14.5546875" bestFit="1" customWidth="1"/>
    <col min="8" max="10" width="12.21875" customWidth="1"/>
    <col min="11" max="11" width="13.77734375" customWidth="1"/>
    <col min="12" max="12" width="12.21875" customWidth="1"/>
    <col min="13" max="13" width="16.21875" customWidth="1"/>
    <col min="14" max="14" width="14.5546875" bestFit="1" customWidth="1"/>
  </cols>
  <sheetData>
    <row r="2" spans="1:14" ht="18" customHeight="1" x14ac:dyDescent="0.25">
      <c r="A2" s="74" t="s">
        <v>72</v>
      </c>
      <c r="B2" s="47"/>
      <c r="C2" s="47"/>
      <c r="D2" s="47"/>
      <c r="K2" s="119"/>
      <c r="L2" s="119"/>
      <c r="M2" s="119"/>
      <c r="N2" s="119"/>
    </row>
    <row r="3" spans="1:14" ht="15.75" customHeight="1" x14ac:dyDescent="0.25">
      <c r="A3" s="47"/>
      <c r="B3" s="47"/>
      <c r="C3" s="47"/>
      <c r="D3" s="47"/>
      <c r="F3" s="24" t="str">
        <f>'Danbury LSD'!$F$3</f>
        <v>TAX YEAR:     2024</v>
      </c>
      <c r="H3" s="24" t="str">
        <f>'Danbury LSD'!$H$3</f>
        <v>COLLECTION YEAR:     2025</v>
      </c>
      <c r="J3" s="30"/>
      <c r="K3" s="119"/>
      <c r="L3" s="119"/>
      <c r="M3" s="119"/>
      <c r="N3" s="119"/>
    </row>
    <row r="4" spans="1:14" x14ac:dyDescent="0.2">
      <c r="A4" s="47"/>
      <c r="B4" s="47"/>
      <c r="C4" s="47"/>
      <c r="D4" s="47"/>
      <c r="H4" s="5"/>
    </row>
    <row r="5" spans="1:14" ht="15.75" x14ac:dyDescent="0.25">
      <c r="A5" s="24" t="s">
        <v>0</v>
      </c>
      <c r="B5" s="73" t="str">
        <f>'Danbury LSD'!$B$5</f>
        <v>January 1, 2024</v>
      </c>
      <c r="H5" s="14" t="s">
        <v>1</v>
      </c>
      <c r="L5" s="14" t="s">
        <v>2</v>
      </c>
    </row>
    <row r="6" spans="1:14" x14ac:dyDescent="0.2">
      <c r="F6" s="19" t="s">
        <v>50</v>
      </c>
      <c r="G6" s="4"/>
      <c r="H6" s="14" t="s">
        <v>3</v>
      </c>
      <c r="I6" s="14" t="s">
        <v>4</v>
      </c>
      <c r="J6" s="14" t="s">
        <v>4</v>
      </c>
      <c r="K6" s="14" t="s">
        <v>4</v>
      </c>
      <c r="L6" s="14" t="s">
        <v>4</v>
      </c>
    </row>
    <row r="7" spans="1:14" ht="15.75" thickBot="1" x14ac:dyDescent="0.25">
      <c r="A7" s="20" t="s">
        <v>52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3</v>
      </c>
      <c r="H7" s="13" t="s">
        <v>10</v>
      </c>
      <c r="I7" s="13" t="s">
        <v>11</v>
      </c>
      <c r="J7" s="13" t="s">
        <v>12</v>
      </c>
      <c r="K7" s="13" t="s">
        <v>3</v>
      </c>
      <c r="L7" s="13" t="s">
        <v>13</v>
      </c>
    </row>
    <row r="8" spans="1:14" ht="15.75" thickTop="1" x14ac:dyDescent="0.2">
      <c r="A8" s="48">
        <v>398840</v>
      </c>
      <c r="B8" s="48">
        <v>0</v>
      </c>
      <c r="C8" s="48">
        <v>0</v>
      </c>
      <c r="D8" s="48">
        <v>0</v>
      </c>
      <c r="E8" s="48">
        <v>1011330</v>
      </c>
      <c r="F8" s="51">
        <v>0</v>
      </c>
      <c r="G8" s="51">
        <v>86170</v>
      </c>
      <c r="H8" s="6"/>
      <c r="I8" s="6">
        <f>A8+E8</f>
        <v>1410170</v>
      </c>
      <c r="J8" s="6">
        <f>B8+C8+D8+F8</f>
        <v>0</v>
      </c>
      <c r="K8" s="6">
        <f>G8+H8</f>
        <v>86170</v>
      </c>
      <c r="L8" s="6">
        <f>I8+J8+K8</f>
        <v>1496340</v>
      </c>
      <c r="M8" s="47" t="s">
        <v>68</v>
      </c>
    </row>
    <row r="9" spans="1:14" x14ac:dyDescent="0.2">
      <c r="A9" s="6">
        <v>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/>
      <c r="I9" s="6">
        <f>E9+A9</f>
        <v>0</v>
      </c>
      <c r="J9" s="6">
        <f>D9+B9+C9+F9</f>
        <v>0</v>
      </c>
      <c r="K9" s="6">
        <f>G9+H9</f>
        <v>0</v>
      </c>
      <c r="L9" s="77">
        <f>I9+J9+K9</f>
        <v>0</v>
      </c>
      <c r="M9" s="47" t="s">
        <v>69</v>
      </c>
      <c r="N9" s="6"/>
    </row>
    <row r="10" spans="1:14" x14ac:dyDescent="0.2">
      <c r="A10" s="2">
        <f t="shared" ref="A10:L10" si="0">SUM(A8:A9)</f>
        <v>398840</v>
      </c>
      <c r="B10" s="2">
        <f t="shared" si="0"/>
        <v>0</v>
      </c>
      <c r="C10" s="2">
        <f t="shared" si="0"/>
        <v>0</v>
      </c>
      <c r="D10" s="2">
        <f t="shared" si="0"/>
        <v>0</v>
      </c>
      <c r="E10" s="2">
        <f t="shared" si="0"/>
        <v>1011330</v>
      </c>
      <c r="F10" s="2">
        <f t="shared" si="0"/>
        <v>0</v>
      </c>
      <c r="G10" s="2">
        <f t="shared" si="0"/>
        <v>86170</v>
      </c>
      <c r="H10" s="2">
        <f t="shared" si="0"/>
        <v>0</v>
      </c>
      <c r="I10" s="2">
        <f t="shared" si="0"/>
        <v>1410170</v>
      </c>
      <c r="J10" s="2">
        <f t="shared" si="0"/>
        <v>0</v>
      </c>
      <c r="K10" s="2">
        <f t="shared" si="0"/>
        <v>86170</v>
      </c>
      <c r="L10" s="2">
        <f t="shared" si="0"/>
        <v>1496340</v>
      </c>
    </row>
    <row r="11" spans="1:14" x14ac:dyDescent="0.2">
      <c r="A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x14ac:dyDescent="0.2">
      <c r="A12" s="14" t="s">
        <v>14</v>
      </c>
      <c r="B12" s="14" t="s">
        <v>15</v>
      </c>
      <c r="C12" s="14" t="s">
        <v>12</v>
      </c>
    </row>
    <row r="13" spans="1:14" x14ac:dyDescent="0.2">
      <c r="A13" s="14" t="s">
        <v>16</v>
      </c>
      <c r="B13" s="14" t="s">
        <v>17</v>
      </c>
      <c r="C13" s="14" t="s">
        <v>17</v>
      </c>
      <c r="H13" s="14" t="s">
        <v>18</v>
      </c>
      <c r="I13" s="14" t="s">
        <v>19</v>
      </c>
      <c r="J13" s="14" t="s">
        <v>20</v>
      </c>
      <c r="K13" s="14" t="s">
        <v>21</v>
      </c>
      <c r="L13" s="14" t="s">
        <v>20</v>
      </c>
    </row>
    <row r="14" spans="1:14" ht="15.75" thickBot="1" x14ac:dyDescent="0.25">
      <c r="A14" s="13" t="s">
        <v>22</v>
      </c>
      <c r="B14" s="13" t="s">
        <v>23</v>
      </c>
      <c r="C14" s="13" t="s">
        <v>23</v>
      </c>
      <c r="D14" s="1" t="s">
        <v>24</v>
      </c>
      <c r="E14" s="1"/>
      <c r="F14" s="1"/>
      <c r="G14" s="13" t="s">
        <v>25</v>
      </c>
      <c r="H14" s="13" t="s">
        <v>26</v>
      </c>
      <c r="I14" s="13" t="s">
        <v>27</v>
      </c>
      <c r="J14" s="13" t="s">
        <v>28</v>
      </c>
      <c r="K14" s="13" t="s">
        <v>29</v>
      </c>
      <c r="L14" s="13" t="s">
        <v>30</v>
      </c>
    </row>
    <row r="15" spans="1:14" ht="15.75" thickTop="1" x14ac:dyDescent="0.2">
      <c r="A15" s="3" t="s">
        <v>31</v>
      </c>
    </row>
    <row r="16" spans="1:14" x14ac:dyDescent="0.2">
      <c r="A16" s="7">
        <v>4.7</v>
      </c>
      <c r="B16" s="8">
        <v>4.7</v>
      </c>
      <c r="C16" s="8">
        <v>4.7</v>
      </c>
      <c r="D16" t="s">
        <v>40</v>
      </c>
    </row>
    <row r="17" spans="1:15" x14ac:dyDescent="0.2">
      <c r="A17" s="9">
        <f>SUM(A15:A16)</f>
        <v>4.7</v>
      </c>
      <c r="B17" s="10">
        <f>SUM(B15:B16)</f>
        <v>4.7</v>
      </c>
      <c r="C17" s="10">
        <f>SUM(C15:C16)</f>
        <v>4.7</v>
      </c>
      <c r="D17" t="s">
        <v>32</v>
      </c>
    </row>
    <row r="18" spans="1:15" x14ac:dyDescent="0.2">
      <c r="A18" s="11" t="s">
        <v>33</v>
      </c>
      <c r="B18" s="8"/>
      <c r="C18" s="8"/>
    </row>
    <row r="19" spans="1:15" x14ac:dyDescent="0.2">
      <c r="A19" s="79">
        <v>20.5</v>
      </c>
      <c r="B19" s="8">
        <v>3.8518059999999998</v>
      </c>
      <c r="C19" s="8">
        <v>7.6521369999999997</v>
      </c>
      <c r="D19" t="s">
        <v>34</v>
      </c>
      <c r="G19" s="14" t="s">
        <v>35</v>
      </c>
      <c r="H19" s="14">
        <v>1976</v>
      </c>
      <c r="I19" s="14" t="s">
        <v>61</v>
      </c>
      <c r="J19" s="14">
        <v>1976</v>
      </c>
      <c r="K19" s="14" t="s">
        <v>37</v>
      </c>
      <c r="L19" s="14" t="s">
        <v>37</v>
      </c>
    </row>
    <row r="20" spans="1:15" x14ac:dyDescent="0.2">
      <c r="A20" s="79">
        <v>4.5</v>
      </c>
      <c r="B20" s="8">
        <v>0.85721800000000004</v>
      </c>
      <c r="C20" s="8">
        <v>1.6907669999999999</v>
      </c>
      <c r="D20" t="s">
        <v>34</v>
      </c>
      <c r="G20" s="14" t="s">
        <v>35</v>
      </c>
      <c r="H20" s="14">
        <v>1977</v>
      </c>
      <c r="I20" s="23">
        <v>28283</v>
      </c>
      <c r="J20" s="14">
        <v>1977</v>
      </c>
      <c r="K20" s="14" t="s">
        <v>37</v>
      </c>
      <c r="L20" s="14" t="s">
        <v>37</v>
      </c>
    </row>
    <row r="21" spans="1:15" x14ac:dyDescent="0.2">
      <c r="A21" s="7">
        <v>4.3</v>
      </c>
      <c r="B21" s="8">
        <v>0.92655100000000001</v>
      </c>
      <c r="C21" s="8">
        <v>1.8014030000000001</v>
      </c>
      <c r="D21" t="s">
        <v>34</v>
      </c>
      <c r="G21" s="14" t="s">
        <v>35</v>
      </c>
      <c r="H21" s="14">
        <v>1981</v>
      </c>
      <c r="I21" s="23">
        <v>29893</v>
      </c>
      <c r="J21" s="14">
        <v>1981</v>
      </c>
      <c r="K21" s="14" t="s">
        <v>37</v>
      </c>
      <c r="L21" s="14" t="s">
        <v>37</v>
      </c>
    </row>
    <row r="22" spans="1:15" x14ac:dyDescent="0.2">
      <c r="A22" s="7">
        <v>4.5</v>
      </c>
      <c r="B22" s="8">
        <v>1.559515</v>
      </c>
      <c r="C22" s="8">
        <v>3.2776689999999999</v>
      </c>
      <c r="D22" t="s">
        <v>34</v>
      </c>
      <c r="G22" s="14" t="s">
        <v>35</v>
      </c>
      <c r="H22" s="14">
        <v>1990</v>
      </c>
      <c r="I22" s="23">
        <v>32910</v>
      </c>
      <c r="J22" s="14">
        <v>1990</v>
      </c>
      <c r="K22" s="14" t="s">
        <v>37</v>
      </c>
      <c r="L22" s="14" t="s">
        <v>37</v>
      </c>
    </row>
    <row r="23" spans="1:15" x14ac:dyDescent="0.2">
      <c r="A23" s="7">
        <v>1.4</v>
      </c>
      <c r="B23" s="8">
        <v>0.81249800000000005</v>
      </c>
      <c r="C23" s="8">
        <v>1.253431</v>
      </c>
      <c r="D23" t="s">
        <v>58</v>
      </c>
      <c r="G23" s="14" t="s">
        <v>60</v>
      </c>
      <c r="H23" s="14">
        <v>2001</v>
      </c>
      <c r="I23" s="23">
        <v>40484</v>
      </c>
      <c r="J23" s="14">
        <v>2011</v>
      </c>
      <c r="K23" s="14" t="s">
        <v>37</v>
      </c>
      <c r="L23" s="14" t="s">
        <v>37</v>
      </c>
    </row>
    <row r="24" spans="1:15" hidden="1" x14ac:dyDescent="0.2">
      <c r="A24" s="40">
        <v>0</v>
      </c>
      <c r="B24" s="41">
        <v>0</v>
      </c>
      <c r="C24" s="41">
        <v>0</v>
      </c>
      <c r="D24" s="42" t="s">
        <v>54</v>
      </c>
      <c r="E24" s="43"/>
      <c r="F24" s="43"/>
      <c r="G24" s="44" t="s">
        <v>43</v>
      </c>
      <c r="H24" s="45">
        <v>2005</v>
      </c>
      <c r="I24" s="46">
        <v>39511</v>
      </c>
      <c r="J24" s="45">
        <v>2008</v>
      </c>
      <c r="K24" s="45" t="s">
        <v>44</v>
      </c>
      <c r="L24" s="45">
        <v>2010</v>
      </c>
      <c r="M24" s="39" t="s">
        <v>57</v>
      </c>
    </row>
    <row r="25" spans="1:15" ht="15.75" x14ac:dyDescent="0.25">
      <c r="A25" s="50">
        <v>5.56</v>
      </c>
      <c r="B25" s="52">
        <v>3.5734949999999999</v>
      </c>
      <c r="C25" s="52">
        <v>4.9779119999999999</v>
      </c>
      <c r="D25" s="47" t="s">
        <v>34</v>
      </c>
      <c r="G25" s="14" t="s">
        <v>70</v>
      </c>
      <c r="H25" s="22">
        <v>2008</v>
      </c>
      <c r="I25" s="21">
        <v>39665</v>
      </c>
      <c r="J25" s="22">
        <v>2008</v>
      </c>
      <c r="K25" s="22" t="s">
        <v>37</v>
      </c>
      <c r="L25" s="22" t="s">
        <v>37</v>
      </c>
      <c r="M25" s="28"/>
      <c r="N25" s="28"/>
      <c r="O25" s="14"/>
    </row>
    <row r="26" spans="1:15" ht="15.75" hidden="1" x14ac:dyDescent="0.25">
      <c r="A26" s="7">
        <v>0</v>
      </c>
      <c r="B26" s="8">
        <v>0</v>
      </c>
      <c r="C26" s="8">
        <v>0</v>
      </c>
      <c r="D26" t="s">
        <v>53</v>
      </c>
      <c r="G26" s="14" t="s">
        <v>41</v>
      </c>
      <c r="H26" s="14" t="s">
        <v>46</v>
      </c>
      <c r="I26" s="14" t="s">
        <v>47</v>
      </c>
      <c r="J26" s="14" t="s">
        <v>46</v>
      </c>
      <c r="K26" s="14" t="s">
        <v>42</v>
      </c>
      <c r="L26" s="14" t="s">
        <v>49</v>
      </c>
      <c r="M26" s="28" t="s">
        <v>56</v>
      </c>
      <c r="N26" s="28"/>
    </row>
    <row r="27" spans="1:15" ht="15.75" x14ac:dyDescent="0.25">
      <c r="A27" s="7">
        <v>6.63</v>
      </c>
      <c r="B27" s="8">
        <v>4.2611999999999997</v>
      </c>
      <c r="C27" s="8">
        <v>5.9358919999999999</v>
      </c>
      <c r="D27" t="s">
        <v>34</v>
      </c>
      <c r="G27" s="14" t="s">
        <v>70</v>
      </c>
      <c r="H27" s="14">
        <v>2011</v>
      </c>
      <c r="I27" s="23">
        <v>40484</v>
      </c>
      <c r="J27" s="14">
        <v>2011</v>
      </c>
      <c r="K27" s="14" t="s">
        <v>37</v>
      </c>
      <c r="L27" s="14" t="s">
        <v>37</v>
      </c>
      <c r="M27" s="78"/>
    </row>
    <row r="28" spans="1:15" ht="15.75" x14ac:dyDescent="0.25">
      <c r="A28" s="7">
        <v>6.75</v>
      </c>
      <c r="B28" s="8">
        <v>4.3383260000000003</v>
      </c>
      <c r="C28" s="8">
        <v>6.043329</v>
      </c>
      <c r="D28" s="47" t="s">
        <v>34</v>
      </c>
      <c r="G28" s="49" t="s">
        <v>60</v>
      </c>
      <c r="H28" s="14">
        <v>2012</v>
      </c>
      <c r="I28" s="23">
        <v>41947</v>
      </c>
      <c r="J28" s="14">
        <v>2015</v>
      </c>
      <c r="K28" s="14" t="s">
        <v>37</v>
      </c>
      <c r="L28" s="14" t="s">
        <v>37</v>
      </c>
      <c r="M28" s="78"/>
    </row>
    <row r="29" spans="1:15" ht="15.75" x14ac:dyDescent="0.25">
      <c r="A29" s="7">
        <v>3</v>
      </c>
      <c r="B29" s="8">
        <v>3</v>
      </c>
      <c r="C29" s="8">
        <v>3</v>
      </c>
      <c r="D29" s="47" t="s">
        <v>100</v>
      </c>
      <c r="G29" s="49" t="s">
        <v>41</v>
      </c>
      <c r="H29" s="14">
        <v>2021</v>
      </c>
      <c r="I29" s="23">
        <v>44502</v>
      </c>
      <c r="J29" s="14">
        <v>2021</v>
      </c>
      <c r="K29" s="14">
        <v>37</v>
      </c>
      <c r="L29" s="14">
        <v>2057</v>
      </c>
      <c r="M29" s="78"/>
    </row>
    <row r="30" spans="1:15" x14ac:dyDescent="0.2">
      <c r="A30" s="9">
        <f>SUM(A19:A29)</f>
        <v>57.14</v>
      </c>
      <c r="B30" s="10">
        <f>SUM(B19:B29)</f>
        <v>23.180608999999997</v>
      </c>
      <c r="C30" s="10">
        <f>SUM(C19:C29)</f>
        <v>35.632539999999999</v>
      </c>
      <c r="D30" t="s">
        <v>38</v>
      </c>
    </row>
    <row r="31" spans="1:15" ht="15.75" thickBot="1" x14ac:dyDescent="0.25">
      <c r="A31" s="7"/>
      <c r="B31" s="8"/>
      <c r="C31" s="8"/>
    </row>
    <row r="32" spans="1:15" ht="16.5" thickTop="1" x14ac:dyDescent="0.25">
      <c r="A32" s="71">
        <f>(+A17+A30)</f>
        <v>61.84</v>
      </c>
      <c r="B32" s="72">
        <f>(+B17+B30)</f>
        <v>27.880608999999996</v>
      </c>
      <c r="C32" s="72">
        <f>(+C17+C30)</f>
        <v>40.332540000000002</v>
      </c>
      <c r="D32" t="s">
        <v>45</v>
      </c>
    </row>
    <row r="35" spans="1:14" x14ac:dyDescent="0.2">
      <c r="A35" s="7"/>
      <c r="B35" s="8"/>
      <c r="C35" s="8"/>
    </row>
    <row r="36" spans="1:14" x14ac:dyDescent="0.2">
      <c r="A36" s="15" t="s">
        <v>14</v>
      </c>
      <c r="B36" s="17" t="s">
        <v>15</v>
      </c>
      <c r="C36" s="17" t="s">
        <v>12</v>
      </c>
      <c r="I36" s="19" t="s">
        <v>51</v>
      </c>
      <c r="J36" s="4"/>
      <c r="K36" s="4"/>
      <c r="L36" s="4"/>
      <c r="M36" s="54"/>
      <c r="N36" s="31"/>
    </row>
    <row r="37" spans="1:14" x14ac:dyDescent="0.2">
      <c r="A37" s="15" t="s">
        <v>16</v>
      </c>
      <c r="B37" s="17" t="s">
        <v>17</v>
      </c>
      <c r="C37" s="17" t="s">
        <v>17</v>
      </c>
      <c r="I37" s="14" t="s">
        <v>4</v>
      </c>
      <c r="J37" s="14" t="s">
        <v>4</v>
      </c>
      <c r="K37" s="14" t="s">
        <v>4</v>
      </c>
      <c r="L37" s="14" t="s">
        <v>4</v>
      </c>
      <c r="M37" s="33"/>
      <c r="N37" s="33"/>
    </row>
    <row r="38" spans="1:14" ht="15.75" thickBot="1" x14ac:dyDescent="0.25">
      <c r="A38" s="16" t="s">
        <v>22</v>
      </c>
      <c r="B38" s="18" t="s">
        <v>23</v>
      </c>
      <c r="C38" s="18" t="s">
        <v>23</v>
      </c>
      <c r="D38" s="1" t="s">
        <v>24</v>
      </c>
      <c r="E38" s="1"/>
      <c r="F38" s="1"/>
      <c r="G38" s="1"/>
      <c r="H38" s="1"/>
      <c r="I38" s="13" t="s">
        <v>11</v>
      </c>
      <c r="J38" s="13" t="s">
        <v>12</v>
      </c>
      <c r="K38" s="13" t="s">
        <v>3</v>
      </c>
      <c r="L38" s="13" t="s">
        <v>39</v>
      </c>
      <c r="M38" s="34"/>
      <c r="N38" s="35"/>
    </row>
    <row r="39" spans="1:14" ht="15.75" thickTop="1" x14ac:dyDescent="0.2">
      <c r="A39" s="3" t="s">
        <v>31</v>
      </c>
      <c r="I39" s="6"/>
      <c r="J39" s="6"/>
      <c r="K39" s="6"/>
      <c r="L39" s="6"/>
      <c r="M39" s="31"/>
      <c r="N39" s="31"/>
    </row>
    <row r="40" spans="1:14" x14ac:dyDescent="0.2">
      <c r="A40" s="7">
        <f>A16</f>
        <v>4.7</v>
      </c>
      <c r="B40" s="8">
        <f>B16</f>
        <v>4.7</v>
      </c>
      <c r="C40" s="8">
        <f>C16</f>
        <v>4.7</v>
      </c>
      <c r="D40" t="s">
        <v>40</v>
      </c>
      <c r="I40" s="6">
        <f>($I$10*B40)/1000</f>
        <v>6627.799</v>
      </c>
      <c r="J40" s="6">
        <f>($J$10*C40)/1000</f>
        <v>0</v>
      </c>
      <c r="K40" s="6">
        <f>($K$10*A40)/1000</f>
        <v>404.99900000000002</v>
      </c>
      <c r="L40" s="6">
        <f>SUM(I40:K40)</f>
        <v>7032.7979999999998</v>
      </c>
      <c r="M40" s="26"/>
      <c r="N40" s="25"/>
    </row>
    <row r="41" spans="1:14" x14ac:dyDescent="0.2">
      <c r="A41" s="9">
        <f>SUM(A39:A40)</f>
        <v>4.7</v>
      </c>
      <c r="B41" s="10">
        <f>SUM(B39:B40)</f>
        <v>4.7</v>
      </c>
      <c r="C41" s="10">
        <f>SUM(C39:C40)</f>
        <v>4.7</v>
      </c>
      <c r="D41" t="s">
        <v>32</v>
      </c>
      <c r="I41" s="2">
        <f>SUM(I40:I40)</f>
        <v>6627.799</v>
      </c>
      <c r="J41" s="2">
        <f>SUM(J40:J40)</f>
        <v>0</v>
      </c>
      <c r="K41" s="2">
        <f>SUM(K40:K40)</f>
        <v>404.99900000000002</v>
      </c>
      <c r="L41" s="2">
        <f>SUM(L40:L40)</f>
        <v>7032.7979999999998</v>
      </c>
      <c r="M41" s="26"/>
      <c r="N41" s="25"/>
    </row>
    <row r="42" spans="1:14" x14ac:dyDescent="0.2">
      <c r="A42" s="11" t="s">
        <v>33</v>
      </c>
      <c r="B42" s="8"/>
      <c r="C42" s="8"/>
      <c r="I42" s="6"/>
      <c r="J42" s="6"/>
      <c r="K42" s="6"/>
      <c r="L42" s="6"/>
      <c r="M42" s="31"/>
      <c r="N42" s="31"/>
    </row>
    <row r="43" spans="1:14" x14ac:dyDescent="0.2">
      <c r="A43" s="79">
        <v>20.5</v>
      </c>
      <c r="B43" s="8">
        <f>B19</f>
        <v>3.8518059999999998</v>
      </c>
      <c r="C43" s="8">
        <f>C19</f>
        <v>7.6521369999999997</v>
      </c>
      <c r="D43" t="s">
        <v>34</v>
      </c>
      <c r="I43" s="6">
        <f>($I$10*B43)/1000</f>
        <v>5431.7012670200002</v>
      </c>
      <c r="J43" s="6">
        <f>($J$10*C43)/1000</f>
        <v>0</v>
      </c>
      <c r="K43" s="6">
        <f>($K$10*A43)/1000</f>
        <v>1766.4849999999999</v>
      </c>
      <c r="L43" s="6">
        <f t="shared" ref="L43:L53" si="1">SUM(I43:K43)</f>
        <v>7198.1862670199998</v>
      </c>
      <c r="M43" s="31"/>
      <c r="N43" s="31"/>
    </row>
    <row r="44" spans="1:14" x14ac:dyDescent="0.2">
      <c r="A44" s="79">
        <v>4.5</v>
      </c>
      <c r="B44" s="8">
        <f>B20</f>
        <v>0.85721800000000004</v>
      </c>
      <c r="C44" s="8">
        <f>C20</f>
        <v>1.6907669999999999</v>
      </c>
      <c r="D44" t="s">
        <v>34</v>
      </c>
      <c r="I44" s="6">
        <f>($I$10*B44)/1000</f>
        <v>1208.82310706</v>
      </c>
      <c r="J44" s="6">
        <f>($J$10*C44)/1000</f>
        <v>0</v>
      </c>
      <c r="K44" s="6">
        <f>($K$10*A44)/1000</f>
        <v>387.76499999999999</v>
      </c>
      <c r="L44" s="6">
        <f t="shared" si="1"/>
        <v>1596.5881070599999</v>
      </c>
      <c r="M44" s="31"/>
      <c r="N44" s="31"/>
    </row>
    <row r="45" spans="1:14" x14ac:dyDescent="0.2">
      <c r="A45" s="7">
        <f>A21</f>
        <v>4.3</v>
      </c>
      <c r="B45" s="8">
        <f>B21</f>
        <v>0.92655100000000001</v>
      </c>
      <c r="C45" s="8">
        <f>C21</f>
        <v>1.8014030000000001</v>
      </c>
      <c r="D45" t="s">
        <v>34</v>
      </c>
      <c r="I45" s="6">
        <f>($I$10*B45)/1000</f>
        <v>1306.59442367</v>
      </c>
      <c r="J45" s="6">
        <f>($J$10*C45)/1000</f>
        <v>0</v>
      </c>
      <c r="K45" s="6">
        <f>($K$10*A45)/1000</f>
        <v>370.53100000000001</v>
      </c>
      <c r="L45" s="6">
        <f t="shared" si="1"/>
        <v>1677.1254236699999</v>
      </c>
      <c r="M45" s="26"/>
      <c r="N45" s="25"/>
    </row>
    <row r="46" spans="1:14" x14ac:dyDescent="0.2">
      <c r="A46" s="7">
        <f>A22</f>
        <v>4.5</v>
      </c>
      <c r="B46" s="8">
        <f>B22</f>
        <v>1.559515</v>
      </c>
      <c r="C46" s="8">
        <f>C22</f>
        <v>3.2776689999999999</v>
      </c>
      <c r="D46" t="s">
        <v>34</v>
      </c>
      <c r="I46" s="6">
        <f t="shared" ref="I46:I51" si="2">($I$10*B46)/1000</f>
        <v>2199.18126755</v>
      </c>
      <c r="J46" s="6">
        <f t="shared" ref="J46:J51" si="3">($J$10*C46)/1000</f>
        <v>0</v>
      </c>
      <c r="K46" s="6">
        <f t="shared" ref="K46:K51" si="4">($K$10*A46)/1000</f>
        <v>387.76499999999999</v>
      </c>
      <c r="L46" s="6">
        <f t="shared" si="1"/>
        <v>2586.9462675499999</v>
      </c>
      <c r="M46" s="26"/>
      <c r="N46" s="25"/>
    </row>
    <row r="47" spans="1:14" x14ac:dyDescent="0.2">
      <c r="A47" s="7">
        <f t="shared" ref="A47:A53" si="5">A23</f>
        <v>1.4</v>
      </c>
      <c r="B47" s="8">
        <f>B23</f>
        <v>0.81249800000000005</v>
      </c>
      <c r="C47" s="8">
        <f>C23</f>
        <v>1.253431</v>
      </c>
      <c r="D47" t="s">
        <v>58</v>
      </c>
      <c r="I47" s="6">
        <f t="shared" si="2"/>
        <v>1145.7603046600002</v>
      </c>
      <c r="J47" s="6">
        <f t="shared" si="3"/>
        <v>0</v>
      </c>
      <c r="K47" s="6">
        <f t="shared" si="4"/>
        <v>120.63799999999999</v>
      </c>
      <c r="L47" s="6">
        <f t="shared" si="1"/>
        <v>1266.3983046600001</v>
      </c>
      <c r="M47" s="26"/>
      <c r="N47" s="25"/>
    </row>
    <row r="48" spans="1:14" hidden="1" x14ac:dyDescent="0.2">
      <c r="A48" s="7">
        <f t="shared" si="5"/>
        <v>0</v>
      </c>
      <c r="B48" s="8">
        <f>B24</f>
        <v>0</v>
      </c>
      <c r="C48" s="8">
        <f>C24</f>
        <v>0</v>
      </c>
      <c r="D48" s="42" t="s">
        <v>55</v>
      </c>
      <c r="E48" s="43"/>
      <c r="F48" s="43"/>
      <c r="I48" s="6">
        <f>($I$10*B48)/1000</f>
        <v>0</v>
      </c>
      <c r="J48" s="6">
        <f>($J$10*C48)/1000</f>
        <v>0</v>
      </c>
      <c r="K48" s="6">
        <f>($K$10*A48)/1000</f>
        <v>0</v>
      </c>
      <c r="L48" s="6">
        <f t="shared" si="1"/>
        <v>0</v>
      </c>
      <c r="M48" s="31"/>
      <c r="N48" s="25"/>
    </row>
    <row r="49" spans="1:16" x14ac:dyDescent="0.2">
      <c r="A49" s="7">
        <f t="shared" si="5"/>
        <v>5.56</v>
      </c>
      <c r="B49" s="8">
        <f>B25</f>
        <v>3.5734949999999999</v>
      </c>
      <c r="C49" s="8">
        <f>C25</f>
        <v>4.9779119999999999</v>
      </c>
      <c r="D49" s="47" t="s">
        <v>34</v>
      </c>
      <c r="I49" s="6">
        <f>($I$10*B49)/1000</f>
        <v>5039.2354441500001</v>
      </c>
      <c r="J49" s="6">
        <f>($J$10*C49)/1000</f>
        <v>0</v>
      </c>
      <c r="K49" s="6">
        <f>($K$10*A49)/1000</f>
        <v>479.10519999999997</v>
      </c>
      <c r="L49" s="6">
        <f t="shared" si="1"/>
        <v>5518.3406441500001</v>
      </c>
      <c r="M49" s="31"/>
      <c r="N49" s="25"/>
    </row>
    <row r="50" spans="1:16" hidden="1" x14ac:dyDescent="0.2">
      <c r="A50" s="7">
        <f t="shared" si="5"/>
        <v>0</v>
      </c>
      <c r="B50" s="8">
        <f>B26</f>
        <v>0</v>
      </c>
      <c r="C50" s="8">
        <f>C26</f>
        <v>0</v>
      </c>
      <c r="D50" t="s">
        <v>48</v>
      </c>
      <c r="I50" s="6">
        <f t="shared" si="2"/>
        <v>0</v>
      </c>
      <c r="J50" s="6">
        <f t="shared" si="3"/>
        <v>0</v>
      </c>
      <c r="K50" s="6">
        <f t="shared" si="4"/>
        <v>0</v>
      </c>
      <c r="L50" s="6">
        <f t="shared" si="1"/>
        <v>0</v>
      </c>
      <c r="M50" s="31"/>
      <c r="N50" s="25"/>
      <c r="O50" s="29"/>
    </row>
    <row r="51" spans="1:16" x14ac:dyDescent="0.2">
      <c r="A51" s="7">
        <f t="shared" si="5"/>
        <v>6.63</v>
      </c>
      <c r="B51" s="8">
        <f>B27</f>
        <v>4.2611999999999997</v>
      </c>
      <c r="C51" s="8">
        <f>C27</f>
        <v>5.9358919999999999</v>
      </c>
      <c r="D51" t="s">
        <v>34</v>
      </c>
      <c r="I51" s="6">
        <f t="shared" si="2"/>
        <v>6009.0164039999991</v>
      </c>
      <c r="J51" s="6">
        <f t="shared" si="3"/>
        <v>0</v>
      </c>
      <c r="K51" s="6">
        <f t="shared" si="4"/>
        <v>571.30709999999999</v>
      </c>
      <c r="L51" s="6">
        <f t="shared" si="1"/>
        <v>6580.323503999999</v>
      </c>
      <c r="M51" s="31"/>
      <c r="N51" s="25"/>
      <c r="O51" s="29"/>
    </row>
    <row r="52" spans="1:16" x14ac:dyDescent="0.2">
      <c r="A52" s="7">
        <f t="shared" si="5"/>
        <v>6.75</v>
      </c>
      <c r="B52" s="8">
        <f>B28</f>
        <v>4.3383260000000003</v>
      </c>
      <c r="C52" s="8">
        <f>C28</f>
        <v>6.043329</v>
      </c>
      <c r="D52" s="47" t="s">
        <v>34</v>
      </c>
      <c r="I52" s="6">
        <f>($I$10*B52)/1000</f>
        <v>6117.7771754200003</v>
      </c>
      <c r="J52" s="6">
        <f>($J$10*C52)/1000</f>
        <v>0</v>
      </c>
      <c r="K52" s="6">
        <f>($K$10*A52)/1000</f>
        <v>581.64750000000004</v>
      </c>
      <c r="L52" s="6">
        <f t="shared" si="1"/>
        <v>6699.4246754200003</v>
      </c>
      <c r="M52" s="31"/>
      <c r="N52" s="25"/>
      <c r="O52" s="29"/>
    </row>
    <row r="53" spans="1:16" x14ac:dyDescent="0.2">
      <c r="A53" s="7">
        <f t="shared" si="5"/>
        <v>3</v>
      </c>
      <c r="B53" s="8">
        <f>B29</f>
        <v>3</v>
      </c>
      <c r="C53" s="8">
        <f>C29</f>
        <v>3</v>
      </c>
      <c r="D53" s="7" t="str">
        <f>D29</f>
        <v>Bond ($36,000,000)</v>
      </c>
      <c r="I53" s="6">
        <f>($I$10*B53)/1000</f>
        <v>4230.51</v>
      </c>
      <c r="J53" s="6">
        <f>($J$10*C53)/1000</f>
        <v>0</v>
      </c>
      <c r="K53" s="6">
        <f>($K$10*A53)/1000</f>
        <v>258.51</v>
      </c>
      <c r="L53" s="6">
        <f t="shared" si="1"/>
        <v>4489.0200000000004</v>
      </c>
      <c r="M53" s="31"/>
      <c r="N53" s="25"/>
      <c r="O53" s="29"/>
    </row>
    <row r="54" spans="1:16" x14ac:dyDescent="0.2">
      <c r="A54" s="9">
        <f>SUM(A43:A53)</f>
        <v>57.14</v>
      </c>
      <c r="B54" s="10">
        <f>SUM(B43:B53)</f>
        <v>23.180608999999997</v>
      </c>
      <c r="C54" s="10">
        <f>SUM(C43:C53)</f>
        <v>35.632539999999999</v>
      </c>
      <c r="D54" t="s">
        <v>38</v>
      </c>
      <c r="I54" s="2">
        <f>SUM(I45:I51)</f>
        <v>15699.787844029997</v>
      </c>
      <c r="J54" s="2">
        <f>SUM(J45:J51)</f>
        <v>0</v>
      </c>
      <c r="K54" s="2">
        <f>SUM(K45:K51)</f>
        <v>1929.3463000000002</v>
      </c>
      <c r="L54" s="2">
        <f>SUM(L45:L52)</f>
        <v>24328.558819449998</v>
      </c>
      <c r="M54" s="26"/>
      <c r="N54" s="25"/>
    </row>
    <row r="55" spans="1:16" ht="15.75" thickBot="1" x14ac:dyDescent="0.25">
      <c r="A55" s="7"/>
      <c r="B55" s="8"/>
      <c r="C55" s="8"/>
      <c r="I55" s="6"/>
      <c r="J55" s="6"/>
      <c r="K55" s="6"/>
      <c r="L55" s="6"/>
      <c r="M55" s="31"/>
      <c r="N55" s="31"/>
    </row>
    <row r="56" spans="1:16" ht="16.5" thickTop="1" x14ac:dyDescent="0.25">
      <c r="A56" s="71">
        <f>(+A41+A54)</f>
        <v>61.84</v>
      </c>
      <c r="B56" s="72">
        <f>(+B41+B54)</f>
        <v>27.880608999999996</v>
      </c>
      <c r="C56" s="72">
        <f>(+C41+C54)</f>
        <v>40.332540000000002</v>
      </c>
      <c r="D56" t="s">
        <v>45</v>
      </c>
      <c r="I56" s="12">
        <f>(+I41+I54)</f>
        <v>22327.586844029996</v>
      </c>
      <c r="J56" s="12">
        <f>(+J41+J54)</f>
        <v>0</v>
      </c>
      <c r="K56" s="12">
        <f>(+K41+K54)</f>
        <v>2334.3453</v>
      </c>
      <c r="L56" s="12">
        <f>(+L41+L54)</f>
        <v>31361.356819449997</v>
      </c>
      <c r="M56" s="36"/>
      <c r="N56" s="36"/>
    </row>
    <row r="57" spans="1:16" x14ac:dyDescent="0.2">
      <c r="I57" s="6"/>
      <c r="J57" s="6"/>
      <c r="K57" s="6"/>
      <c r="L57" s="6"/>
    </row>
    <row r="58" spans="1:16" x14ac:dyDescent="0.2">
      <c r="F58" s="37"/>
      <c r="G58" s="37"/>
      <c r="H58" s="55"/>
      <c r="I58" s="69"/>
      <c r="J58" s="56"/>
      <c r="K58" s="53"/>
      <c r="L58" s="53"/>
      <c r="M58" s="53"/>
      <c r="N58" s="53"/>
      <c r="O58" s="67"/>
      <c r="P58" s="68"/>
    </row>
    <row r="59" spans="1:16" ht="15.75" x14ac:dyDescent="0.25">
      <c r="D59" s="24" t="s">
        <v>95</v>
      </c>
      <c r="F59" s="38"/>
      <c r="G59" s="38"/>
      <c r="H59" s="57"/>
      <c r="I59" s="70"/>
      <c r="J59" s="59"/>
      <c r="K59" s="60"/>
      <c r="L59" s="60"/>
      <c r="M59" s="64"/>
      <c r="N59" s="64"/>
      <c r="O59" s="62"/>
      <c r="P59" s="62"/>
    </row>
    <row r="60" spans="1:16" x14ac:dyDescent="0.2">
      <c r="F60" s="38"/>
      <c r="G60" s="38"/>
      <c r="H60" s="57"/>
      <c r="I60" s="58"/>
      <c r="J60" s="59"/>
      <c r="K60" s="60"/>
      <c r="L60" s="60"/>
      <c r="M60" s="62"/>
      <c r="N60" s="62"/>
      <c r="O60" s="62"/>
      <c r="P60" s="62"/>
    </row>
    <row r="61" spans="1:16" x14ac:dyDescent="0.2">
      <c r="F61" s="38"/>
      <c r="G61" s="38"/>
      <c r="H61" s="57"/>
      <c r="I61" s="58"/>
      <c r="J61" s="59"/>
      <c r="K61" s="60"/>
      <c r="L61" s="60"/>
      <c r="M61" s="62"/>
      <c r="N61" s="62"/>
      <c r="O61" s="62"/>
      <c r="P61" s="62"/>
    </row>
    <row r="62" spans="1:16" x14ac:dyDescent="0.2">
      <c r="F62" s="38"/>
      <c r="G62" s="38"/>
      <c r="H62" s="57"/>
      <c r="I62" s="58"/>
      <c r="J62" s="59"/>
      <c r="K62" s="60"/>
      <c r="L62" s="60"/>
      <c r="M62" s="64"/>
      <c r="N62" s="64"/>
      <c r="O62" s="62"/>
      <c r="P62" s="62"/>
    </row>
    <row r="63" spans="1:16" x14ac:dyDescent="0.2">
      <c r="F63" s="38"/>
      <c r="G63" s="38"/>
      <c r="H63" s="57"/>
      <c r="I63" s="58"/>
      <c r="J63" s="59"/>
      <c r="K63" s="60"/>
      <c r="L63" s="60"/>
      <c r="M63" s="64"/>
      <c r="N63" s="64"/>
      <c r="O63" s="62"/>
      <c r="P63" s="62"/>
    </row>
    <row r="64" spans="1:16" x14ac:dyDescent="0.2">
      <c r="F64" s="38"/>
      <c r="G64" s="38"/>
      <c r="H64" s="57"/>
      <c r="I64" s="58"/>
      <c r="J64" s="59"/>
      <c r="K64" s="60"/>
      <c r="L64" s="60"/>
      <c r="M64" s="64"/>
      <c r="N64" s="64"/>
      <c r="O64" s="62"/>
      <c r="P64" s="62"/>
    </row>
    <row r="65" spans="6:16" x14ac:dyDescent="0.2">
      <c r="F65" s="38"/>
      <c r="G65" s="38"/>
      <c r="H65" s="57"/>
      <c r="I65" s="58"/>
      <c r="J65" s="59"/>
      <c r="K65" s="60"/>
      <c r="L65" s="60"/>
      <c r="M65" s="64"/>
      <c r="N65" s="64"/>
      <c r="O65" s="62"/>
      <c r="P65" s="62"/>
    </row>
    <row r="66" spans="6:16" x14ac:dyDescent="0.2">
      <c r="F66" s="27"/>
      <c r="G66" s="27"/>
      <c r="H66" s="61"/>
      <c r="I66" s="63"/>
      <c r="J66" s="63"/>
      <c r="K66" s="61"/>
      <c r="L66" s="64"/>
      <c r="M66" s="64"/>
      <c r="N66" s="64"/>
      <c r="O66" s="54"/>
      <c r="P66" s="54"/>
    </row>
    <row r="67" spans="6:16" x14ac:dyDescent="0.2">
      <c r="H67" s="54"/>
      <c r="I67" s="54"/>
      <c r="J67" s="54"/>
      <c r="K67" s="54"/>
      <c r="L67" s="66"/>
      <c r="M67" s="66"/>
      <c r="N67" s="66"/>
      <c r="O67" s="54"/>
      <c r="P67" s="54"/>
    </row>
    <row r="68" spans="6:16" x14ac:dyDescent="0.2">
      <c r="H68" s="54"/>
      <c r="I68" s="65"/>
      <c r="J68" s="54"/>
      <c r="K68" s="54"/>
      <c r="L68" s="66"/>
      <c r="M68" s="62"/>
      <c r="N68" s="62"/>
      <c r="O68" s="54"/>
      <c r="P68" s="54"/>
    </row>
    <row r="69" spans="6:16" x14ac:dyDescent="0.2">
      <c r="H69" s="54"/>
      <c r="I69" s="54"/>
      <c r="J69" s="54"/>
      <c r="K69" s="54"/>
      <c r="L69" s="54"/>
      <c r="M69" s="54"/>
      <c r="N69" s="54"/>
      <c r="O69" s="54"/>
      <c r="P69" s="54"/>
    </row>
    <row r="71" spans="6:16" x14ac:dyDescent="0.2">
      <c r="I71" s="31"/>
    </row>
    <row r="72" spans="6:16" x14ac:dyDescent="0.2">
      <c r="I72" s="31"/>
    </row>
    <row r="73" spans="6:16" x14ac:dyDescent="0.2">
      <c r="I73" s="31"/>
    </row>
    <row r="74" spans="6:16" ht="15.75" x14ac:dyDescent="0.25">
      <c r="I74" s="32"/>
    </row>
  </sheetData>
  <mergeCells count="1">
    <mergeCell ref="K2:N3"/>
  </mergeCells>
  <pageMargins left="0.7" right="0.7" top="0.75" bottom="0.75" header="0.3" footer="0.3"/>
  <pageSetup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47"/>
  <sheetViews>
    <sheetView workbookViewId="0">
      <selection activeCell="M9" sqref="M9"/>
    </sheetView>
  </sheetViews>
  <sheetFormatPr defaultColWidth="13.21875" defaultRowHeight="15" x14ac:dyDescent="0.2"/>
  <cols>
    <col min="1" max="1" width="12.77734375" customWidth="1"/>
    <col min="2" max="2" width="12.21875" customWidth="1"/>
    <col min="3" max="3" width="8.44140625" bestFit="1" customWidth="1"/>
    <col min="4" max="10" width="12.21875" customWidth="1"/>
    <col min="11" max="11" width="13.77734375" customWidth="1"/>
    <col min="12" max="12" width="12.21875" customWidth="1"/>
    <col min="13" max="13" width="16.21875" style="105" customWidth="1"/>
    <col min="14" max="14" width="14.5546875" bestFit="1" customWidth="1"/>
  </cols>
  <sheetData>
    <row r="2" spans="1:14" ht="18" customHeight="1" x14ac:dyDescent="0.25">
      <c r="A2" s="74" t="s">
        <v>71</v>
      </c>
      <c r="B2" s="47"/>
      <c r="C2" s="47"/>
      <c r="D2" s="47"/>
      <c r="K2" s="119"/>
      <c r="L2" s="119"/>
      <c r="M2" s="119"/>
      <c r="N2" s="119"/>
    </row>
    <row r="3" spans="1:14" ht="15.75" customHeight="1" x14ac:dyDescent="0.25">
      <c r="A3" s="47"/>
      <c r="B3" s="47"/>
      <c r="C3" s="47"/>
      <c r="D3" s="47"/>
      <c r="F3" s="24" t="str">
        <f>'Danbury LSD'!$F$3</f>
        <v>TAX YEAR:     2024</v>
      </c>
      <c r="H3" s="24" t="str">
        <f>'Danbury LSD'!$H$3</f>
        <v>COLLECTION YEAR:     2025</v>
      </c>
      <c r="J3" s="30"/>
      <c r="K3" s="119"/>
      <c r="L3" s="119"/>
      <c r="M3" s="119"/>
      <c r="N3" s="119"/>
    </row>
    <row r="4" spans="1:14" x14ac:dyDescent="0.2">
      <c r="A4" s="47"/>
      <c r="B4" s="47"/>
      <c r="C4" s="47"/>
      <c r="D4" s="47"/>
      <c r="H4" s="5"/>
    </row>
    <row r="5" spans="1:14" ht="15.75" x14ac:dyDescent="0.25">
      <c r="A5" s="24" t="s">
        <v>0</v>
      </c>
      <c r="B5" s="73" t="str">
        <f>'Danbury LSD'!$B$5</f>
        <v>January 1, 2024</v>
      </c>
      <c r="H5" s="14" t="s">
        <v>1</v>
      </c>
      <c r="L5" s="14" t="s">
        <v>2</v>
      </c>
    </row>
    <row r="6" spans="1:14" x14ac:dyDescent="0.2">
      <c r="F6" s="19" t="s">
        <v>50</v>
      </c>
      <c r="G6" s="4"/>
      <c r="H6" s="14" t="s">
        <v>3</v>
      </c>
      <c r="I6" s="14" t="s">
        <v>4</v>
      </c>
      <c r="J6" s="14" t="s">
        <v>4</v>
      </c>
      <c r="K6" s="14" t="s">
        <v>4</v>
      </c>
      <c r="L6" s="14" t="s">
        <v>4</v>
      </c>
    </row>
    <row r="7" spans="1:14" ht="15.75" thickBot="1" x14ac:dyDescent="0.25">
      <c r="A7" s="20" t="s">
        <v>52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3</v>
      </c>
      <c r="H7" s="13" t="s">
        <v>10</v>
      </c>
      <c r="I7" s="13" t="s">
        <v>11</v>
      </c>
      <c r="J7" s="13" t="s">
        <v>12</v>
      </c>
      <c r="K7" s="13" t="s">
        <v>3</v>
      </c>
      <c r="L7" s="13" t="s">
        <v>13</v>
      </c>
      <c r="M7" s="108" t="s">
        <v>96</v>
      </c>
    </row>
    <row r="8" spans="1:14" ht="15.75" thickTop="1" x14ac:dyDescent="0.2">
      <c r="A8" s="48">
        <v>665910</v>
      </c>
      <c r="B8" s="48">
        <v>0</v>
      </c>
      <c r="C8" s="48">
        <v>0</v>
      </c>
      <c r="D8" s="48">
        <v>1813650</v>
      </c>
      <c r="E8" s="48">
        <v>46629590</v>
      </c>
      <c r="F8" s="51">
        <v>0</v>
      </c>
      <c r="G8" s="51">
        <v>1999440</v>
      </c>
      <c r="H8" s="6"/>
      <c r="I8" s="6">
        <f>A8+E8</f>
        <v>47295500</v>
      </c>
      <c r="J8" s="6">
        <f>B8+C8+D8+F8</f>
        <v>1813650</v>
      </c>
      <c r="K8" s="6">
        <f>G8+H8</f>
        <v>1999440</v>
      </c>
      <c r="L8" s="6">
        <f>I8+J8+K8</f>
        <v>51108590</v>
      </c>
      <c r="M8" s="106">
        <v>4543000</v>
      </c>
    </row>
    <row r="9" spans="1:14" x14ac:dyDescent="0.2">
      <c r="A9" s="2">
        <f t="shared" ref="A9:M9" si="0">SUM(A8:A8)</f>
        <v>665910</v>
      </c>
      <c r="B9" s="2">
        <f t="shared" si="0"/>
        <v>0</v>
      </c>
      <c r="C9" s="2">
        <f t="shared" si="0"/>
        <v>0</v>
      </c>
      <c r="D9" s="2">
        <f t="shared" si="0"/>
        <v>1813650</v>
      </c>
      <c r="E9" s="2">
        <f t="shared" si="0"/>
        <v>46629590</v>
      </c>
      <c r="F9" s="2">
        <f t="shared" si="0"/>
        <v>0</v>
      </c>
      <c r="G9" s="2">
        <f t="shared" si="0"/>
        <v>1999440</v>
      </c>
      <c r="H9" s="2">
        <f t="shared" si="0"/>
        <v>0</v>
      </c>
      <c r="I9" s="2">
        <f t="shared" si="0"/>
        <v>47295500</v>
      </c>
      <c r="J9" s="2">
        <f t="shared" si="0"/>
        <v>1813650</v>
      </c>
      <c r="K9" s="2">
        <f t="shared" si="0"/>
        <v>1999440</v>
      </c>
      <c r="L9" s="90">
        <f t="shared" si="0"/>
        <v>51108590</v>
      </c>
      <c r="M9" s="90">
        <f t="shared" si="0"/>
        <v>4543000</v>
      </c>
    </row>
    <row r="10" spans="1:14" x14ac:dyDescent="0.2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x14ac:dyDescent="0.2">
      <c r="A11" s="14" t="s">
        <v>14</v>
      </c>
      <c r="B11" s="14" t="s">
        <v>15</v>
      </c>
      <c r="C11" s="14" t="s">
        <v>12</v>
      </c>
    </row>
    <row r="12" spans="1:14" x14ac:dyDescent="0.2">
      <c r="A12" s="14" t="s">
        <v>16</v>
      </c>
      <c r="B12" s="14" t="s">
        <v>17</v>
      </c>
      <c r="C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20</v>
      </c>
    </row>
    <row r="13" spans="1:14" ht="15.75" thickBot="1" x14ac:dyDescent="0.25">
      <c r="A13" s="13" t="s">
        <v>22</v>
      </c>
      <c r="B13" s="13" t="s">
        <v>23</v>
      </c>
      <c r="C13" s="13" t="s">
        <v>23</v>
      </c>
      <c r="D13" s="1" t="s">
        <v>24</v>
      </c>
      <c r="E13" s="1"/>
      <c r="F13" s="1"/>
      <c r="G13" s="13" t="s">
        <v>25</v>
      </c>
      <c r="H13" s="13" t="s">
        <v>26</v>
      </c>
      <c r="I13" s="13" t="s">
        <v>27</v>
      </c>
      <c r="J13" s="13" t="s">
        <v>28</v>
      </c>
      <c r="K13" s="13" t="s">
        <v>29</v>
      </c>
      <c r="L13" s="13" t="s">
        <v>30</v>
      </c>
    </row>
    <row r="14" spans="1:14" ht="15.75" thickTop="1" x14ac:dyDescent="0.2">
      <c r="A14" s="3" t="s">
        <v>31</v>
      </c>
    </row>
    <row r="15" spans="1:14" x14ac:dyDescent="0.2">
      <c r="A15" s="7">
        <v>4.8</v>
      </c>
      <c r="B15" s="8">
        <v>4.8</v>
      </c>
      <c r="C15" s="8">
        <v>4.8</v>
      </c>
      <c r="D15" t="s">
        <v>40</v>
      </c>
    </row>
    <row r="16" spans="1:14" x14ac:dyDescent="0.2">
      <c r="A16" s="9">
        <f>SUM(A14:A15)</f>
        <v>4.8</v>
      </c>
      <c r="B16" s="10">
        <f>SUM(B14:B15)</f>
        <v>4.8</v>
      </c>
      <c r="C16" s="10">
        <f>SUM(C14:C15)</f>
        <v>4.8</v>
      </c>
      <c r="D16" t="s">
        <v>32</v>
      </c>
    </row>
    <row r="17" spans="1:16" ht="15.75" thickBot="1" x14ac:dyDescent="0.25">
      <c r="A17" s="7"/>
      <c r="B17" s="8"/>
      <c r="C17" s="8"/>
    </row>
    <row r="18" spans="1:16" ht="16.5" thickTop="1" x14ac:dyDescent="0.25">
      <c r="A18" s="71">
        <f>A16</f>
        <v>4.8</v>
      </c>
      <c r="B18" s="71">
        <f>B16</f>
        <v>4.8</v>
      </c>
      <c r="C18" s="71">
        <f>C16</f>
        <v>4.8</v>
      </c>
      <c r="D18" t="s">
        <v>45</v>
      </c>
    </row>
    <row r="21" spans="1:16" x14ac:dyDescent="0.2">
      <c r="A21" s="7"/>
      <c r="B21" s="8"/>
      <c r="C21" s="8"/>
    </row>
    <row r="22" spans="1:16" x14ac:dyDescent="0.2">
      <c r="A22" s="15" t="s">
        <v>14</v>
      </c>
      <c r="B22" s="17" t="s">
        <v>15</v>
      </c>
      <c r="C22" s="17" t="s">
        <v>12</v>
      </c>
      <c r="I22" s="19" t="s">
        <v>51</v>
      </c>
      <c r="J22" s="4"/>
      <c r="K22" s="4"/>
      <c r="L22" s="4"/>
      <c r="M22" s="103"/>
      <c r="N22" s="31"/>
    </row>
    <row r="23" spans="1:16" x14ac:dyDescent="0.2">
      <c r="A23" s="15" t="s">
        <v>16</v>
      </c>
      <c r="B23" s="17" t="s">
        <v>17</v>
      </c>
      <c r="C23" s="17" t="s">
        <v>17</v>
      </c>
      <c r="I23" s="14" t="s">
        <v>4</v>
      </c>
      <c r="J23" s="14" t="s">
        <v>4</v>
      </c>
      <c r="K23" s="14" t="s">
        <v>4</v>
      </c>
      <c r="L23" s="14" t="s">
        <v>4</v>
      </c>
      <c r="M23" s="102"/>
      <c r="N23" s="33"/>
    </row>
    <row r="24" spans="1:16" ht="15.75" thickBot="1" x14ac:dyDescent="0.25">
      <c r="A24" s="16" t="s">
        <v>22</v>
      </c>
      <c r="B24" s="18" t="s">
        <v>23</v>
      </c>
      <c r="C24" s="18" t="s">
        <v>23</v>
      </c>
      <c r="D24" s="1" t="s">
        <v>24</v>
      </c>
      <c r="E24" s="1"/>
      <c r="F24" s="1"/>
      <c r="G24" s="1"/>
      <c r="H24" s="1"/>
      <c r="I24" s="13" t="s">
        <v>11</v>
      </c>
      <c r="J24" s="13" t="s">
        <v>12</v>
      </c>
      <c r="K24" s="13" t="s">
        <v>3</v>
      </c>
      <c r="L24" s="13" t="s">
        <v>39</v>
      </c>
      <c r="M24" s="103"/>
      <c r="N24" s="35"/>
    </row>
    <row r="25" spans="1:16" ht="15.75" thickTop="1" x14ac:dyDescent="0.2">
      <c r="A25" s="3" t="s">
        <v>31</v>
      </c>
      <c r="I25" s="6"/>
      <c r="J25" s="6"/>
      <c r="K25" s="6"/>
      <c r="L25" s="6"/>
      <c r="M25" s="102"/>
      <c r="N25" s="31"/>
    </row>
    <row r="26" spans="1:16" x14ac:dyDescent="0.2">
      <c r="A26" s="7">
        <f>A15</f>
        <v>4.8</v>
      </c>
      <c r="B26" s="8">
        <f>B15</f>
        <v>4.8</v>
      </c>
      <c r="C26" s="8">
        <f>C15</f>
        <v>4.8</v>
      </c>
      <c r="D26" t="s">
        <v>40</v>
      </c>
      <c r="I26" s="6">
        <f>($I$9*B26)/1000</f>
        <v>227018.4</v>
      </c>
      <c r="J26" s="6">
        <f>($J$9*C26)/1000</f>
        <v>8705.52</v>
      </c>
      <c r="K26" s="6">
        <f>($K$9*A26)/1000</f>
        <v>9597.3119999999999</v>
      </c>
      <c r="L26" s="6">
        <f>SUM(I26:K26)</f>
        <v>245321.23199999999</v>
      </c>
      <c r="M26" s="102"/>
      <c r="N26" s="25"/>
    </row>
    <row r="27" spans="1:16" x14ac:dyDescent="0.2">
      <c r="A27" s="9">
        <f>SUM(A25:A26)</f>
        <v>4.8</v>
      </c>
      <c r="B27" s="10">
        <f>SUM(B25:B26)</f>
        <v>4.8</v>
      </c>
      <c r="C27" s="10">
        <f>SUM(C25:C26)</f>
        <v>4.8</v>
      </c>
      <c r="D27" t="s">
        <v>32</v>
      </c>
      <c r="I27" s="2">
        <f>SUM(I26:I26)</f>
        <v>227018.4</v>
      </c>
      <c r="J27" s="2">
        <f>SUM(J26:J26)</f>
        <v>8705.52</v>
      </c>
      <c r="K27" s="2">
        <f>SUM(K26:K26)</f>
        <v>9597.3119999999999</v>
      </c>
      <c r="L27" s="2">
        <f>SUM(L26:L26)</f>
        <v>245321.23199999999</v>
      </c>
      <c r="M27" s="102"/>
      <c r="N27" s="25"/>
    </row>
    <row r="28" spans="1:16" ht="15.75" thickBot="1" x14ac:dyDescent="0.25">
      <c r="A28" s="7"/>
      <c r="B28" s="8"/>
      <c r="C28" s="8"/>
      <c r="I28" s="6"/>
      <c r="J28" s="6"/>
      <c r="K28" s="6"/>
      <c r="L28" s="6"/>
      <c r="M28" s="102"/>
      <c r="N28" s="31"/>
    </row>
    <row r="29" spans="1:16" ht="16.5" thickTop="1" x14ac:dyDescent="0.25">
      <c r="A29" s="71">
        <f>(+A27)</f>
        <v>4.8</v>
      </c>
      <c r="B29" s="71">
        <f>(+B27)</f>
        <v>4.8</v>
      </c>
      <c r="C29" s="71">
        <f>(+C27)</f>
        <v>4.8</v>
      </c>
      <c r="D29" t="s">
        <v>45</v>
      </c>
      <c r="I29" s="12">
        <f>(+I27)</f>
        <v>227018.4</v>
      </c>
      <c r="J29" s="12">
        <f>(+J27)</f>
        <v>8705.52</v>
      </c>
      <c r="K29" s="12">
        <f>(+K27)</f>
        <v>9597.3119999999999</v>
      </c>
      <c r="L29" s="12">
        <f>(+L27)</f>
        <v>245321.23199999999</v>
      </c>
      <c r="M29" s="83"/>
      <c r="N29" s="36"/>
    </row>
    <row r="30" spans="1:16" x14ac:dyDescent="0.2">
      <c r="I30" s="6"/>
      <c r="J30" s="6"/>
      <c r="K30" s="6"/>
      <c r="L30" s="6"/>
    </row>
    <row r="31" spans="1:16" x14ac:dyDescent="0.2">
      <c r="F31" s="37"/>
      <c r="G31" s="37"/>
      <c r="H31" s="55"/>
      <c r="I31" s="69"/>
      <c r="J31" s="56"/>
      <c r="K31" s="53"/>
      <c r="L31" s="53"/>
      <c r="M31" s="104"/>
      <c r="N31" s="53"/>
      <c r="O31" s="67"/>
      <c r="P31" s="68"/>
    </row>
    <row r="32" spans="1:16" ht="15.75" x14ac:dyDescent="0.25">
      <c r="D32" s="24" t="s">
        <v>95</v>
      </c>
      <c r="F32" s="38"/>
      <c r="G32" s="38"/>
      <c r="H32" s="57"/>
      <c r="I32" s="70"/>
      <c r="J32" s="59"/>
      <c r="K32" s="60"/>
      <c r="L32" s="60"/>
      <c r="M32" s="107"/>
      <c r="N32" s="64"/>
      <c r="O32" s="62"/>
      <c r="P32" s="62"/>
    </row>
    <row r="33" spans="6:16" x14ac:dyDescent="0.2">
      <c r="F33" s="38"/>
      <c r="G33" s="38"/>
      <c r="H33" s="57"/>
      <c r="I33" s="58"/>
      <c r="J33" s="59"/>
      <c r="K33" s="60"/>
      <c r="L33" s="60"/>
      <c r="M33" s="107"/>
      <c r="N33" s="62"/>
      <c r="O33" s="62"/>
      <c r="P33" s="62"/>
    </row>
    <row r="34" spans="6:16" x14ac:dyDescent="0.2">
      <c r="F34" s="38"/>
      <c r="G34" s="38"/>
      <c r="H34" s="57"/>
      <c r="I34" s="58"/>
      <c r="J34" s="59"/>
      <c r="K34" s="60"/>
      <c r="L34" s="60"/>
      <c r="M34" s="107"/>
      <c r="N34" s="62"/>
      <c r="O34" s="62"/>
      <c r="P34" s="62"/>
    </row>
    <row r="35" spans="6:16" x14ac:dyDescent="0.2">
      <c r="F35" s="38"/>
      <c r="G35" s="38"/>
      <c r="H35" s="57"/>
      <c r="I35" s="58"/>
      <c r="J35" s="59"/>
      <c r="K35" s="60"/>
      <c r="L35" s="60"/>
      <c r="M35" s="107"/>
      <c r="N35" s="64"/>
      <c r="O35" s="62"/>
      <c r="P35" s="62"/>
    </row>
    <row r="36" spans="6:16" x14ac:dyDescent="0.2">
      <c r="F36" s="38"/>
      <c r="G36" s="38"/>
      <c r="H36" s="57"/>
      <c r="I36" s="58"/>
      <c r="J36" s="59"/>
      <c r="K36" s="60"/>
      <c r="L36" s="60"/>
      <c r="M36" s="107"/>
      <c r="N36" s="64"/>
      <c r="O36" s="62"/>
      <c r="P36" s="62"/>
    </row>
    <row r="37" spans="6:16" x14ac:dyDescent="0.2">
      <c r="F37" s="38"/>
      <c r="G37" s="38"/>
      <c r="H37" s="57"/>
      <c r="I37" s="58"/>
      <c r="J37" s="59"/>
      <c r="K37" s="60"/>
      <c r="L37" s="60"/>
      <c r="M37" s="107"/>
      <c r="N37" s="64"/>
      <c r="O37" s="62"/>
      <c r="P37" s="62"/>
    </row>
    <row r="38" spans="6:16" x14ac:dyDescent="0.2">
      <c r="F38" s="38"/>
      <c r="G38" s="38"/>
      <c r="H38" s="57"/>
      <c r="I38" s="58"/>
      <c r="J38" s="59"/>
      <c r="K38" s="60"/>
      <c r="L38" s="60"/>
      <c r="M38" s="107"/>
      <c r="N38" s="64"/>
      <c r="O38" s="62"/>
      <c r="P38" s="62"/>
    </row>
    <row r="39" spans="6:16" x14ac:dyDescent="0.2">
      <c r="F39" s="27"/>
      <c r="G39" s="27"/>
      <c r="H39" s="61"/>
      <c r="I39" s="63"/>
      <c r="J39" s="63"/>
      <c r="K39" s="61"/>
      <c r="L39" s="64"/>
      <c r="M39" s="107"/>
      <c r="N39" s="64"/>
      <c r="O39" s="54"/>
      <c r="P39" s="54"/>
    </row>
    <row r="40" spans="6:16" x14ac:dyDescent="0.2">
      <c r="H40" s="54"/>
      <c r="I40" s="54"/>
      <c r="J40" s="54"/>
      <c r="K40" s="54"/>
      <c r="L40" s="66"/>
      <c r="M40" s="107"/>
      <c r="N40" s="66"/>
      <c r="O40" s="54"/>
      <c r="P40" s="54"/>
    </row>
    <row r="41" spans="6:16" x14ac:dyDescent="0.2">
      <c r="H41" s="54"/>
      <c r="I41" s="65"/>
      <c r="J41" s="54"/>
      <c r="K41" s="54"/>
      <c r="L41" s="66"/>
      <c r="M41" s="107"/>
      <c r="N41" s="62"/>
      <c r="O41" s="54"/>
      <c r="P41" s="54"/>
    </row>
    <row r="42" spans="6:16" x14ac:dyDescent="0.2">
      <c r="H42" s="54"/>
      <c r="I42" s="54"/>
      <c r="J42" s="54"/>
      <c r="K42" s="54"/>
      <c r="L42" s="54"/>
      <c r="M42" s="103"/>
      <c r="N42" s="54"/>
      <c r="O42" s="54"/>
      <c r="P42" s="54"/>
    </row>
    <row r="44" spans="6:16" x14ac:dyDescent="0.2">
      <c r="I44" s="31"/>
    </row>
    <row r="45" spans="6:16" x14ac:dyDescent="0.2">
      <c r="I45" s="31"/>
    </row>
    <row r="46" spans="6:16" x14ac:dyDescent="0.2">
      <c r="I46" s="31"/>
    </row>
    <row r="47" spans="6:16" ht="15.75" x14ac:dyDescent="0.25">
      <c r="I47" s="32"/>
    </row>
  </sheetData>
  <mergeCells count="1">
    <mergeCell ref="K2:N3"/>
  </mergeCells>
  <pageMargins left="0.7" right="0.7" top="0.75" bottom="0.7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53"/>
  <sheetViews>
    <sheetView workbookViewId="0">
      <selection activeCell="M8" sqref="M8"/>
    </sheetView>
  </sheetViews>
  <sheetFormatPr defaultColWidth="13.21875" defaultRowHeight="15" x14ac:dyDescent="0.2"/>
  <cols>
    <col min="1" max="1" width="12.77734375" customWidth="1"/>
    <col min="2" max="10" width="12.21875" customWidth="1"/>
    <col min="11" max="11" width="13.77734375" customWidth="1"/>
    <col min="12" max="12" width="12.21875" customWidth="1"/>
    <col min="13" max="13" width="16.21875" customWidth="1"/>
    <col min="14" max="14" width="14.5546875" bestFit="1" customWidth="1"/>
  </cols>
  <sheetData>
    <row r="2" spans="1:14" ht="18" customHeight="1" x14ac:dyDescent="0.25">
      <c r="A2" s="74" t="s">
        <v>76</v>
      </c>
      <c r="B2" s="47"/>
      <c r="C2" s="47"/>
      <c r="D2" s="47"/>
      <c r="K2" s="119"/>
      <c r="L2" s="119"/>
      <c r="M2" s="119"/>
      <c r="N2" s="119"/>
    </row>
    <row r="3" spans="1:14" ht="15.75" customHeight="1" x14ac:dyDescent="0.25">
      <c r="A3" s="47"/>
      <c r="B3" s="47"/>
      <c r="C3" s="47"/>
      <c r="D3" s="47"/>
      <c r="F3" s="24" t="str">
        <f>'Danbury LSD'!$F$3</f>
        <v>TAX YEAR:     2024</v>
      </c>
      <c r="H3" s="24" t="str">
        <f>'Danbury LSD'!$H$3</f>
        <v>COLLECTION YEAR:     2025</v>
      </c>
      <c r="J3" s="30"/>
      <c r="K3" s="119"/>
      <c r="L3" s="119"/>
      <c r="M3" s="119"/>
      <c r="N3" s="119"/>
    </row>
    <row r="4" spans="1:14" x14ac:dyDescent="0.2">
      <c r="A4" s="47"/>
      <c r="B4" s="47"/>
      <c r="C4" s="47"/>
      <c r="D4" s="47"/>
      <c r="H4" s="5"/>
    </row>
    <row r="5" spans="1:14" ht="15.75" x14ac:dyDescent="0.25">
      <c r="A5" s="24" t="s">
        <v>0</v>
      </c>
      <c r="B5" s="73" t="str">
        <f>'Danbury LSD'!$B$5</f>
        <v>January 1, 2024</v>
      </c>
      <c r="H5" s="14" t="s">
        <v>1</v>
      </c>
      <c r="L5" s="14" t="s">
        <v>2</v>
      </c>
    </row>
    <row r="6" spans="1:14" x14ac:dyDescent="0.2">
      <c r="F6" s="19" t="s">
        <v>50</v>
      </c>
      <c r="G6" s="4"/>
      <c r="H6" s="14" t="s">
        <v>3</v>
      </c>
      <c r="I6" s="14" t="s">
        <v>4</v>
      </c>
      <c r="J6" s="14" t="s">
        <v>4</v>
      </c>
      <c r="K6" s="14" t="s">
        <v>4</v>
      </c>
      <c r="L6" s="14" t="s">
        <v>4</v>
      </c>
    </row>
    <row r="7" spans="1:14" ht="15.75" thickBot="1" x14ac:dyDescent="0.25">
      <c r="A7" s="20" t="s">
        <v>52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3</v>
      </c>
      <c r="H7" s="13" t="s">
        <v>10</v>
      </c>
      <c r="I7" s="13" t="s">
        <v>11</v>
      </c>
      <c r="J7" s="13" t="s">
        <v>12</v>
      </c>
      <c r="K7" s="13" t="s">
        <v>3</v>
      </c>
      <c r="L7" s="13" t="s">
        <v>13</v>
      </c>
      <c r="M7" s="89" t="s">
        <v>96</v>
      </c>
    </row>
    <row r="8" spans="1:14" ht="15.75" thickTop="1" x14ac:dyDescent="0.2">
      <c r="A8" s="48">
        <v>0</v>
      </c>
      <c r="B8" s="48">
        <v>0</v>
      </c>
      <c r="C8" s="48">
        <v>0</v>
      </c>
      <c r="D8" s="48">
        <v>0</v>
      </c>
      <c r="E8" s="48">
        <v>911280</v>
      </c>
      <c r="F8" s="51">
        <v>0</v>
      </c>
      <c r="G8" s="51">
        <v>115220</v>
      </c>
      <c r="H8" s="6"/>
      <c r="I8" s="6">
        <f>A8+E8</f>
        <v>911280</v>
      </c>
      <c r="J8" s="6">
        <f>B8+C8+D8+F8</f>
        <v>0</v>
      </c>
      <c r="K8" s="6">
        <f>G8+H8</f>
        <v>115220</v>
      </c>
      <c r="L8" s="6">
        <f>I8+J8+K8</f>
        <v>1026500</v>
      </c>
      <c r="M8" s="100">
        <v>6148600</v>
      </c>
    </row>
    <row r="9" spans="1:14" x14ac:dyDescent="0.2">
      <c r="A9" s="2">
        <f t="shared" ref="A9:M9" si="0">SUM(A8:A8)</f>
        <v>0</v>
      </c>
      <c r="B9" s="2">
        <f t="shared" si="0"/>
        <v>0</v>
      </c>
      <c r="C9" s="2">
        <f t="shared" si="0"/>
        <v>0</v>
      </c>
      <c r="D9" s="2">
        <f t="shared" si="0"/>
        <v>0</v>
      </c>
      <c r="E9" s="2">
        <f t="shared" si="0"/>
        <v>911280</v>
      </c>
      <c r="F9" s="2">
        <f t="shared" si="0"/>
        <v>0</v>
      </c>
      <c r="G9" s="2">
        <f t="shared" si="0"/>
        <v>115220</v>
      </c>
      <c r="H9" s="2">
        <f t="shared" si="0"/>
        <v>0</v>
      </c>
      <c r="I9" s="2">
        <f t="shared" si="0"/>
        <v>911280</v>
      </c>
      <c r="J9" s="2">
        <f t="shared" si="0"/>
        <v>0</v>
      </c>
      <c r="K9" s="2">
        <f t="shared" si="0"/>
        <v>115220</v>
      </c>
      <c r="L9" s="2">
        <f t="shared" si="0"/>
        <v>1026500</v>
      </c>
      <c r="M9" s="90">
        <f t="shared" si="0"/>
        <v>6148600</v>
      </c>
    </row>
    <row r="10" spans="1:14" x14ac:dyDescent="0.2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x14ac:dyDescent="0.2">
      <c r="A11" s="14" t="s">
        <v>14</v>
      </c>
      <c r="B11" s="14" t="s">
        <v>15</v>
      </c>
      <c r="C11" s="14" t="s">
        <v>12</v>
      </c>
    </row>
    <row r="12" spans="1:14" x14ac:dyDescent="0.2">
      <c r="A12" s="14" t="s">
        <v>16</v>
      </c>
      <c r="B12" s="14" t="s">
        <v>17</v>
      </c>
      <c r="C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20</v>
      </c>
    </row>
    <row r="13" spans="1:14" ht="15.75" thickBot="1" x14ac:dyDescent="0.25">
      <c r="A13" s="13" t="s">
        <v>22</v>
      </c>
      <c r="B13" s="13" t="s">
        <v>23</v>
      </c>
      <c r="C13" s="13" t="s">
        <v>23</v>
      </c>
      <c r="D13" s="1" t="s">
        <v>24</v>
      </c>
      <c r="E13" s="1"/>
      <c r="F13" s="1"/>
      <c r="G13" s="13" t="s">
        <v>25</v>
      </c>
      <c r="H13" s="13" t="s">
        <v>26</v>
      </c>
      <c r="I13" s="13" t="s">
        <v>27</v>
      </c>
      <c r="J13" s="13" t="s">
        <v>28</v>
      </c>
      <c r="K13" s="13" t="s">
        <v>29</v>
      </c>
      <c r="L13" s="13" t="s">
        <v>30</v>
      </c>
    </row>
    <row r="14" spans="1:14" ht="15.75" thickTop="1" x14ac:dyDescent="0.2">
      <c r="A14" s="3" t="s">
        <v>31</v>
      </c>
    </row>
    <row r="15" spans="1:14" x14ac:dyDescent="0.2">
      <c r="A15" s="7">
        <v>5.6</v>
      </c>
      <c r="B15" s="8">
        <v>5.6</v>
      </c>
      <c r="C15" s="8">
        <v>5.6</v>
      </c>
      <c r="D15" t="s">
        <v>40</v>
      </c>
    </row>
    <row r="16" spans="1:14" x14ac:dyDescent="0.2">
      <c r="A16" s="9">
        <f>SUM(A14:A15)</f>
        <v>5.6</v>
      </c>
      <c r="B16" s="10">
        <f>SUM(B14:B15)</f>
        <v>5.6</v>
      </c>
      <c r="C16" s="10">
        <f>SUM(C14:C15)</f>
        <v>5.6</v>
      </c>
      <c r="D16" t="s">
        <v>32</v>
      </c>
    </row>
    <row r="17" spans="1:14" x14ac:dyDescent="0.2">
      <c r="A17" s="11" t="s">
        <v>33</v>
      </c>
      <c r="B17" s="8"/>
      <c r="C17" s="8"/>
    </row>
    <row r="18" spans="1:14" x14ac:dyDescent="0.2">
      <c r="A18" s="7">
        <v>13</v>
      </c>
      <c r="B18" s="8">
        <v>13</v>
      </c>
      <c r="C18" s="8">
        <v>13</v>
      </c>
      <c r="D18" t="s">
        <v>34</v>
      </c>
      <c r="G18" s="14" t="s">
        <v>35</v>
      </c>
      <c r="H18" s="14" t="s">
        <v>36</v>
      </c>
      <c r="I18" s="14" t="s">
        <v>62</v>
      </c>
      <c r="J18" s="14" t="s">
        <v>36</v>
      </c>
      <c r="K18" s="14" t="s">
        <v>37</v>
      </c>
      <c r="L18" s="14" t="s">
        <v>37</v>
      </c>
    </row>
    <row r="19" spans="1:14" x14ac:dyDescent="0.2">
      <c r="A19" s="9">
        <f>SUM(A18:A18)</f>
        <v>13</v>
      </c>
      <c r="B19" s="10">
        <f>SUM(B18:B18)</f>
        <v>13</v>
      </c>
      <c r="C19" s="10">
        <f>SUM(C18:C18)</f>
        <v>13</v>
      </c>
      <c r="D19" t="s">
        <v>38</v>
      </c>
    </row>
    <row r="20" spans="1:14" ht="15.75" thickBot="1" x14ac:dyDescent="0.25">
      <c r="A20" s="7"/>
      <c r="B20" s="8"/>
      <c r="C20" s="8"/>
    </row>
    <row r="21" spans="1:14" ht="16.5" thickTop="1" x14ac:dyDescent="0.25">
      <c r="A21" s="71">
        <f>(+A16+A19)</f>
        <v>18.600000000000001</v>
      </c>
      <c r="B21" s="72">
        <f>(+B16+B19)</f>
        <v>18.600000000000001</v>
      </c>
      <c r="C21" s="72">
        <f>(+C16+C19)</f>
        <v>18.600000000000001</v>
      </c>
      <c r="D21" t="s">
        <v>45</v>
      </c>
    </row>
    <row r="24" spans="1:14" x14ac:dyDescent="0.2">
      <c r="A24" s="7"/>
      <c r="B24" s="8"/>
      <c r="C24" s="8"/>
    </row>
    <row r="25" spans="1:14" x14ac:dyDescent="0.2">
      <c r="A25" s="15" t="s">
        <v>14</v>
      </c>
      <c r="B25" s="17" t="s">
        <v>15</v>
      </c>
      <c r="C25" s="17" t="s">
        <v>12</v>
      </c>
      <c r="I25" s="19" t="s">
        <v>51</v>
      </c>
      <c r="J25" s="4"/>
      <c r="K25" s="4"/>
      <c r="L25" s="4"/>
      <c r="M25" s="54"/>
      <c r="N25" s="31"/>
    </row>
    <row r="26" spans="1:14" x14ac:dyDescent="0.2">
      <c r="A26" s="15" t="s">
        <v>16</v>
      </c>
      <c r="B26" s="17" t="s">
        <v>17</v>
      </c>
      <c r="C26" s="17" t="s">
        <v>17</v>
      </c>
      <c r="I26" s="14" t="s">
        <v>4</v>
      </c>
      <c r="J26" s="14" t="s">
        <v>4</v>
      </c>
      <c r="K26" s="14" t="s">
        <v>4</v>
      </c>
      <c r="L26" s="14" t="s">
        <v>4</v>
      </c>
      <c r="M26" s="33"/>
      <c r="N26" s="33"/>
    </row>
    <row r="27" spans="1:14" ht="15.75" thickBot="1" x14ac:dyDescent="0.25">
      <c r="A27" s="16" t="s">
        <v>22</v>
      </c>
      <c r="B27" s="18" t="s">
        <v>23</v>
      </c>
      <c r="C27" s="18" t="s">
        <v>23</v>
      </c>
      <c r="D27" s="1" t="s">
        <v>24</v>
      </c>
      <c r="E27" s="1"/>
      <c r="F27" s="1"/>
      <c r="G27" s="1"/>
      <c r="H27" s="1"/>
      <c r="I27" s="13" t="s">
        <v>11</v>
      </c>
      <c r="J27" s="13" t="s">
        <v>12</v>
      </c>
      <c r="K27" s="13" t="s">
        <v>3</v>
      </c>
      <c r="L27" s="13" t="s">
        <v>39</v>
      </c>
      <c r="M27" s="34"/>
      <c r="N27" s="35"/>
    </row>
    <row r="28" spans="1:14" ht="15.75" thickTop="1" x14ac:dyDescent="0.2">
      <c r="A28" s="3" t="s">
        <v>31</v>
      </c>
      <c r="I28" s="6"/>
      <c r="J28" s="6"/>
      <c r="K28" s="6"/>
      <c r="L28" s="6"/>
      <c r="M28" s="31"/>
      <c r="N28" s="31"/>
    </row>
    <row r="29" spans="1:14" x14ac:dyDescent="0.2">
      <c r="A29" s="7">
        <f>A15</f>
        <v>5.6</v>
      </c>
      <c r="B29" s="8">
        <f>B15</f>
        <v>5.6</v>
      </c>
      <c r="C29" s="8">
        <f>C15</f>
        <v>5.6</v>
      </c>
      <c r="D29" t="s">
        <v>40</v>
      </c>
      <c r="I29" s="6">
        <f>($I$9*B29)/1000</f>
        <v>5103.1679999999997</v>
      </c>
      <c r="J29" s="6">
        <f>($J$9*C29)/1000</f>
        <v>0</v>
      </c>
      <c r="K29" s="6">
        <f>($K$9*A29)/1000</f>
        <v>645.23199999999997</v>
      </c>
      <c r="L29" s="6">
        <f>SUM(I29:K29)</f>
        <v>5748.4</v>
      </c>
      <c r="M29" s="26"/>
      <c r="N29" s="25"/>
    </row>
    <row r="30" spans="1:14" x14ac:dyDescent="0.2">
      <c r="A30" s="9">
        <f>SUM(A28:A29)</f>
        <v>5.6</v>
      </c>
      <c r="B30" s="10">
        <f>SUM(B28:B29)</f>
        <v>5.6</v>
      </c>
      <c r="C30" s="10">
        <f>SUM(C28:C29)</f>
        <v>5.6</v>
      </c>
      <c r="D30" t="s">
        <v>32</v>
      </c>
      <c r="I30" s="2">
        <f>SUM(I29:I29)</f>
        <v>5103.1679999999997</v>
      </c>
      <c r="J30" s="2">
        <f>SUM(J29:J29)</f>
        <v>0</v>
      </c>
      <c r="K30" s="2">
        <f>SUM(K29:K29)</f>
        <v>645.23199999999997</v>
      </c>
      <c r="L30" s="2">
        <f>SUM(L29:L29)</f>
        <v>5748.4</v>
      </c>
      <c r="M30" s="26"/>
      <c r="N30" s="25"/>
    </row>
    <row r="31" spans="1:14" x14ac:dyDescent="0.2">
      <c r="A31" s="11" t="s">
        <v>33</v>
      </c>
      <c r="B31" s="8"/>
      <c r="C31" s="8"/>
      <c r="I31" s="6"/>
      <c r="J31" s="6"/>
      <c r="K31" s="6"/>
      <c r="L31" s="6"/>
      <c r="M31" s="31"/>
      <c r="N31" s="31"/>
    </row>
    <row r="32" spans="1:14" x14ac:dyDescent="0.2">
      <c r="A32" s="7">
        <f>A18</f>
        <v>13</v>
      </c>
      <c r="B32" s="8">
        <f>B18</f>
        <v>13</v>
      </c>
      <c r="C32" s="8">
        <f>C18</f>
        <v>13</v>
      </c>
      <c r="D32" t="s">
        <v>34</v>
      </c>
      <c r="I32" s="6">
        <f>($I$9*B32)/1000</f>
        <v>11846.64</v>
      </c>
      <c r="J32" s="6">
        <f>($J$9*C32)/1000</f>
        <v>0</v>
      </c>
      <c r="K32" s="6">
        <f>($K$9*A32)/1000</f>
        <v>1497.86</v>
      </c>
      <c r="L32" s="6">
        <f>SUM(I32:K32)</f>
        <v>13344.5</v>
      </c>
      <c r="M32" s="26"/>
      <c r="N32" s="25"/>
    </row>
    <row r="33" spans="1:16" x14ac:dyDescent="0.2">
      <c r="A33" s="9">
        <f>SUM(A32:A32)</f>
        <v>13</v>
      </c>
      <c r="B33" s="10">
        <f>SUM(B32:B32)</f>
        <v>13</v>
      </c>
      <c r="C33" s="10">
        <f>SUM(C32:C32)</f>
        <v>13</v>
      </c>
      <c r="D33" t="s">
        <v>38</v>
      </c>
      <c r="I33" s="2">
        <f>SUM(I32:I32)</f>
        <v>11846.64</v>
      </c>
      <c r="J33" s="2">
        <f>SUM(J32:J32)</f>
        <v>0</v>
      </c>
      <c r="K33" s="2">
        <f>SUM(K32:K32)</f>
        <v>1497.86</v>
      </c>
      <c r="L33" s="2">
        <f>SUM(L32:L32)</f>
        <v>13344.5</v>
      </c>
      <c r="M33" s="26"/>
      <c r="N33" s="25"/>
    </row>
    <row r="34" spans="1:16" ht="15.75" thickBot="1" x14ac:dyDescent="0.25">
      <c r="A34" s="7"/>
      <c r="B34" s="8"/>
      <c r="C34" s="8"/>
      <c r="I34" s="6"/>
      <c r="J34" s="6"/>
      <c r="K34" s="6"/>
      <c r="L34" s="6"/>
      <c r="M34" s="31"/>
      <c r="N34" s="31"/>
    </row>
    <row r="35" spans="1:16" ht="16.5" thickTop="1" x14ac:dyDescent="0.25">
      <c r="A35" s="71">
        <f>(+A30+A33)</f>
        <v>18.600000000000001</v>
      </c>
      <c r="B35" s="72">
        <f>(+B30+B33)</f>
        <v>18.600000000000001</v>
      </c>
      <c r="C35" s="72">
        <f>(+C30+C33)</f>
        <v>18.600000000000001</v>
      </c>
      <c r="D35" t="s">
        <v>45</v>
      </c>
      <c r="I35" s="12">
        <f>(+I30+I33)</f>
        <v>16949.807999999997</v>
      </c>
      <c r="J35" s="12">
        <f>(+J30+J33)</f>
        <v>0</v>
      </c>
      <c r="K35" s="12">
        <f>(+K30+K33)</f>
        <v>2143.0919999999996</v>
      </c>
      <c r="L35" s="12">
        <f>(+L30+L33)</f>
        <v>19092.900000000001</v>
      </c>
      <c r="M35" s="36"/>
      <c r="N35" s="36"/>
    </row>
    <row r="36" spans="1:16" x14ac:dyDescent="0.2">
      <c r="I36" s="6"/>
      <c r="J36" s="6"/>
      <c r="K36" s="6"/>
      <c r="L36" s="6"/>
    </row>
    <row r="37" spans="1:16" x14ac:dyDescent="0.2">
      <c r="F37" s="37"/>
      <c r="G37" s="37"/>
      <c r="H37" s="55"/>
      <c r="I37" s="69"/>
      <c r="J37" s="56"/>
      <c r="K37" s="53"/>
      <c r="L37" s="53"/>
      <c r="M37" s="53"/>
      <c r="N37" s="53"/>
      <c r="O37" s="67"/>
      <c r="P37" s="68"/>
    </row>
    <row r="38" spans="1:16" ht="15.75" x14ac:dyDescent="0.25">
      <c r="D38" s="24" t="s">
        <v>95</v>
      </c>
      <c r="F38" s="38"/>
      <c r="G38" s="38"/>
      <c r="H38" s="57"/>
      <c r="I38" s="70"/>
      <c r="J38" s="59"/>
      <c r="K38" s="60"/>
      <c r="L38" s="60"/>
      <c r="M38" s="64"/>
      <c r="N38" s="64"/>
      <c r="O38" s="62"/>
      <c r="P38" s="62"/>
    </row>
    <row r="39" spans="1:16" x14ac:dyDescent="0.2">
      <c r="F39" s="38"/>
      <c r="G39" s="38"/>
      <c r="H39" s="57"/>
      <c r="I39" s="58"/>
      <c r="J39" s="59"/>
      <c r="K39" s="60"/>
      <c r="L39" s="60"/>
      <c r="M39" s="62"/>
      <c r="N39" s="62"/>
      <c r="O39" s="62"/>
      <c r="P39" s="62"/>
    </row>
    <row r="40" spans="1:16" x14ac:dyDescent="0.2">
      <c r="F40" s="38"/>
      <c r="G40" s="38"/>
      <c r="H40" s="57"/>
      <c r="I40" s="58"/>
      <c r="J40" s="59"/>
      <c r="K40" s="60"/>
      <c r="L40" s="60"/>
      <c r="M40" s="62"/>
      <c r="N40" s="62"/>
      <c r="O40" s="62"/>
      <c r="P40" s="62"/>
    </row>
    <row r="41" spans="1:16" x14ac:dyDescent="0.2">
      <c r="F41" s="38"/>
      <c r="G41" s="38"/>
      <c r="H41" s="57"/>
      <c r="I41" s="58"/>
      <c r="J41" s="59"/>
      <c r="K41" s="60"/>
      <c r="L41" s="60"/>
      <c r="M41" s="64"/>
      <c r="N41" s="64"/>
      <c r="O41" s="62"/>
      <c r="P41" s="62"/>
    </row>
    <row r="42" spans="1:16" x14ac:dyDescent="0.2">
      <c r="F42" s="38"/>
      <c r="G42" s="38"/>
      <c r="H42" s="57"/>
      <c r="I42" s="58"/>
      <c r="J42" s="59"/>
      <c r="K42" s="60"/>
      <c r="L42" s="60"/>
      <c r="M42" s="64"/>
      <c r="N42" s="64"/>
      <c r="O42" s="62"/>
      <c r="P42" s="62"/>
    </row>
    <row r="43" spans="1:16" x14ac:dyDescent="0.2">
      <c r="F43" s="38"/>
      <c r="G43" s="38"/>
      <c r="H43" s="57"/>
      <c r="I43" s="58"/>
      <c r="J43" s="59"/>
      <c r="K43" s="60"/>
      <c r="L43" s="60"/>
      <c r="M43" s="64"/>
      <c r="N43" s="64"/>
      <c r="O43" s="62"/>
      <c r="P43" s="62"/>
    </row>
    <row r="44" spans="1:16" x14ac:dyDescent="0.2">
      <c r="F44" s="38"/>
      <c r="G44" s="38"/>
      <c r="H44" s="57"/>
      <c r="I44" s="58"/>
      <c r="J44" s="59"/>
      <c r="K44" s="60"/>
      <c r="L44" s="60"/>
      <c r="M44" s="64"/>
      <c r="N44" s="64"/>
      <c r="O44" s="62"/>
      <c r="P44" s="62"/>
    </row>
    <row r="45" spans="1:16" x14ac:dyDescent="0.2">
      <c r="F45" s="27"/>
      <c r="G45" s="27"/>
      <c r="H45" s="61"/>
      <c r="I45" s="63"/>
      <c r="J45" s="63"/>
      <c r="K45" s="61"/>
      <c r="L45" s="64"/>
      <c r="M45" s="64"/>
      <c r="N45" s="64"/>
      <c r="O45" s="54"/>
      <c r="P45" s="54"/>
    </row>
    <row r="46" spans="1:16" x14ac:dyDescent="0.2">
      <c r="H46" s="54"/>
      <c r="I46" s="54"/>
      <c r="J46" s="54"/>
      <c r="K46" s="54"/>
      <c r="L46" s="66"/>
      <c r="M46" s="66"/>
      <c r="N46" s="66"/>
      <c r="O46" s="54"/>
      <c r="P46" s="54"/>
    </row>
    <row r="47" spans="1:16" x14ac:dyDescent="0.2">
      <c r="H47" s="54"/>
      <c r="I47" s="65"/>
      <c r="J47" s="54"/>
      <c r="K47" s="54"/>
      <c r="L47" s="66"/>
      <c r="M47" s="62"/>
      <c r="N47" s="62"/>
      <c r="O47" s="54"/>
      <c r="P47" s="54"/>
    </row>
    <row r="48" spans="1:16" x14ac:dyDescent="0.2">
      <c r="H48" s="54"/>
      <c r="I48" s="54"/>
      <c r="J48" s="54"/>
      <c r="K48" s="54"/>
      <c r="L48" s="54"/>
      <c r="M48" s="54"/>
      <c r="N48" s="54"/>
      <c r="O48" s="54"/>
      <c r="P48" s="54"/>
    </row>
    <row r="50" spans="9:9" x14ac:dyDescent="0.2">
      <c r="I50" s="31"/>
    </row>
    <row r="51" spans="9:9" x14ac:dyDescent="0.2">
      <c r="I51" s="31"/>
    </row>
    <row r="52" spans="9:9" x14ac:dyDescent="0.2">
      <c r="I52" s="31"/>
    </row>
    <row r="53" spans="9:9" ht="15.75" x14ac:dyDescent="0.25">
      <c r="I53" s="32"/>
    </row>
  </sheetData>
  <mergeCells count="1">
    <mergeCell ref="K2:N3"/>
  </mergeCells>
  <pageMargins left="0.7" right="0.7" top="0.75" bottom="0.75" header="0.3" footer="0.3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73"/>
  <sheetViews>
    <sheetView topLeftCell="A2" workbookViewId="0">
      <selection activeCell="L8" sqref="L8"/>
    </sheetView>
  </sheetViews>
  <sheetFormatPr defaultColWidth="13.21875" defaultRowHeight="15" x14ac:dyDescent="0.2"/>
  <cols>
    <col min="1" max="1" width="12.77734375" customWidth="1"/>
    <col min="2" max="10" width="12.21875" customWidth="1"/>
    <col min="11" max="11" width="13.77734375" customWidth="1"/>
    <col min="12" max="12" width="12.21875" customWidth="1"/>
    <col min="13" max="13" width="16.21875" customWidth="1"/>
    <col min="14" max="14" width="14.5546875" bestFit="1" customWidth="1"/>
  </cols>
  <sheetData>
    <row r="1" spans="1:14" x14ac:dyDescent="0.2">
      <c r="E1" s="39" t="s">
        <v>121</v>
      </c>
    </row>
    <row r="2" spans="1:14" ht="18" customHeight="1" x14ac:dyDescent="0.25">
      <c r="A2" s="74" t="s">
        <v>77</v>
      </c>
      <c r="B2" s="47"/>
      <c r="C2" s="47"/>
      <c r="D2" s="47"/>
      <c r="K2" s="119"/>
      <c r="L2" s="119"/>
      <c r="M2" s="119"/>
      <c r="N2" s="119"/>
    </row>
    <row r="3" spans="1:14" ht="15.75" customHeight="1" x14ac:dyDescent="0.25">
      <c r="A3" s="47"/>
      <c r="B3" s="47"/>
      <c r="C3" s="47"/>
      <c r="D3" s="47"/>
      <c r="F3" s="24" t="str">
        <f>'Danbury LSD'!$F$3</f>
        <v>TAX YEAR:     2024</v>
      </c>
      <c r="H3" s="24" t="str">
        <f>'Danbury LSD'!$H$3</f>
        <v>COLLECTION YEAR:     2025</v>
      </c>
      <c r="J3" s="30"/>
      <c r="K3" s="119"/>
      <c r="L3" s="119"/>
      <c r="M3" s="119"/>
      <c r="N3" s="119"/>
    </row>
    <row r="4" spans="1:14" x14ac:dyDescent="0.2">
      <c r="A4" s="47"/>
      <c r="B4" s="47"/>
      <c r="C4" s="47"/>
      <c r="D4" s="47"/>
      <c r="H4" s="5"/>
    </row>
    <row r="5" spans="1:14" ht="15.75" x14ac:dyDescent="0.25">
      <c r="A5" s="24" t="s">
        <v>0</v>
      </c>
      <c r="B5" s="73" t="str">
        <f>'Danbury LSD'!$B$5</f>
        <v>January 1, 2024</v>
      </c>
      <c r="H5" s="14" t="s">
        <v>1</v>
      </c>
      <c r="L5" s="14" t="s">
        <v>2</v>
      </c>
    </row>
    <row r="6" spans="1:14" x14ac:dyDescent="0.2">
      <c r="F6" s="19" t="s">
        <v>50</v>
      </c>
      <c r="G6" s="4"/>
      <c r="H6" s="14" t="s">
        <v>3</v>
      </c>
      <c r="I6" s="14" t="s">
        <v>4</v>
      </c>
      <c r="J6" s="14" t="s">
        <v>4</v>
      </c>
      <c r="K6" s="14" t="s">
        <v>4</v>
      </c>
      <c r="L6" s="14" t="s">
        <v>4</v>
      </c>
    </row>
    <row r="7" spans="1:14" ht="15.75" thickBot="1" x14ac:dyDescent="0.25">
      <c r="A7" s="20" t="s">
        <v>52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3</v>
      </c>
      <c r="H7" s="13" t="s">
        <v>10</v>
      </c>
      <c r="I7" s="13" t="s">
        <v>11</v>
      </c>
      <c r="J7" s="13" t="s">
        <v>12</v>
      </c>
      <c r="K7" s="13" t="s">
        <v>3</v>
      </c>
      <c r="L7" s="13" t="s">
        <v>13</v>
      </c>
      <c r="M7" s="101" t="s">
        <v>96</v>
      </c>
    </row>
    <row r="8" spans="1:14" ht="15.75" thickTop="1" x14ac:dyDescent="0.2">
      <c r="A8" s="48">
        <v>22954590</v>
      </c>
      <c r="B8" s="48">
        <v>0</v>
      </c>
      <c r="C8" s="48">
        <v>5928970</v>
      </c>
      <c r="D8" s="48">
        <v>124912110</v>
      </c>
      <c r="E8" s="48">
        <v>956205610</v>
      </c>
      <c r="F8" s="51">
        <v>162520</v>
      </c>
      <c r="G8" s="51">
        <v>44138420</v>
      </c>
      <c r="H8" s="6"/>
      <c r="I8" s="6">
        <f>A8+E8</f>
        <v>979160200</v>
      </c>
      <c r="J8" s="6">
        <f>B8+C8+D8+F8</f>
        <v>131003600</v>
      </c>
      <c r="K8" s="6">
        <f>G8+H8</f>
        <v>44138420</v>
      </c>
      <c r="L8" s="6">
        <f>I8+J8+K8</f>
        <v>1154302220</v>
      </c>
      <c r="M8" s="106">
        <v>59795930</v>
      </c>
    </row>
    <row r="9" spans="1:14" x14ac:dyDescent="0.2">
      <c r="A9" s="2">
        <f t="shared" ref="A9:M9" si="0">SUM(A8:A8)</f>
        <v>22954590</v>
      </c>
      <c r="B9" s="2">
        <f t="shared" si="0"/>
        <v>0</v>
      </c>
      <c r="C9" s="2">
        <f t="shared" si="0"/>
        <v>5928970</v>
      </c>
      <c r="D9" s="2">
        <f t="shared" si="0"/>
        <v>124912110</v>
      </c>
      <c r="E9" s="2">
        <f t="shared" si="0"/>
        <v>956205610</v>
      </c>
      <c r="F9" s="2">
        <f t="shared" si="0"/>
        <v>162520</v>
      </c>
      <c r="G9" s="2">
        <f t="shared" si="0"/>
        <v>44138420</v>
      </c>
      <c r="H9" s="2">
        <f t="shared" si="0"/>
        <v>0</v>
      </c>
      <c r="I9" s="2">
        <f t="shared" si="0"/>
        <v>979160200</v>
      </c>
      <c r="J9" s="2">
        <f t="shared" si="0"/>
        <v>131003600</v>
      </c>
      <c r="K9" s="2">
        <f t="shared" si="0"/>
        <v>44138420</v>
      </c>
      <c r="L9" s="2">
        <f t="shared" si="0"/>
        <v>1154302220</v>
      </c>
      <c r="M9" s="90">
        <f t="shared" si="0"/>
        <v>59795930</v>
      </c>
    </row>
    <row r="10" spans="1:14" x14ac:dyDescent="0.2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x14ac:dyDescent="0.2">
      <c r="A11" s="14" t="s">
        <v>14</v>
      </c>
      <c r="B11" s="14" t="s">
        <v>15</v>
      </c>
      <c r="C11" s="14" t="s">
        <v>12</v>
      </c>
    </row>
    <row r="12" spans="1:14" x14ac:dyDescent="0.2">
      <c r="A12" s="14" t="s">
        <v>16</v>
      </c>
      <c r="B12" s="14" t="s">
        <v>17</v>
      </c>
      <c r="C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20</v>
      </c>
    </row>
    <row r="13" spans="1:14" ht="15.75" thickBot="1" x14ac:dyDescent="0.25">
      <c r="A13" s="13" t="s">
        <v>22</v>
      </c>
      <c r="B13" s="13" t="s">
        <v>23</v>
      </c>
      <c r="C13" s="13" t="s">
        <v>23</v>
      </c>
      <c r="D13" s="1" t="s">
        <v>24</v>
      </c>
      <c r="E13" s="1"/>
      <c r="F13" s="1"/>
      <c r="G13" s="13" t="s">
        <v>25</v>
      </c>
      <c r="H13" s="13" t="s">
        <v>26</v>
      </c>
      <c r="I13" s="13" t="s">
        <v>27</v>
      </c>
      <c r="J13" s="13" t="s">
        <v>28</v>
      </c>
      <c r="K13" s="13" t="s">
        <v>29</v>
      </c>
      <c r="L13" s="13" t="s">
        <v>30</v>
      </c>
    </row>
    <row r="14" spans="1:14" ht="15.75" thickTop="1" x14ac:dyDescent="0.2">
      <c r="A14" s="3" t="s">
        <v>31</v>
      </c>
    </row>
    <row r="15" spans="1:14" x14ac:dyDescent="0.2">
      <c r="A15" s="7">
        <v>2.8</v>
      </c>
      <c r="B15" s="8">
        <v>2.8</v>
      </c>
      <c r="C15" s="8">
        <v>2.8</v>
      </c>
      <c r="D15" t="s">
        <v>40</v>
      </c>
    </row>
    <row r="16" spans="1:14" x14ac:dyDescent="0.2">
      <c r="A16" s="7">
        <v>1</v>
      </c>
      <c r="B16" s="8">
        <v>1</v>
      </c>
      <c r="C16" s="8">
        <v>1</v>
      </c>
      <c r="D16" t="s">
        <v>58</v>
      </c>
    </row>
    <row r="17" spans="1:15" x14ac:dyDescent="0.2">
      <c r="A17" s="9">
        <f>SUM(A14:A16)</f>
        <v>3.8</v>
      </c>
      <c r="B17" s="10">
        <f>SUM(B14:B16)</f>
        <v>3.8</v>
      </c>
      <c r="C17" s="10">
        <f>SUM(C14:C16)</f>
        <v>3.8</v>
      </c>
      <c r="D17" t="s">
        <v>32</v>
      </c>
    </row>
    <row r="18" spans="1:15" x14ac:dyDescent="0.2">
      <c r="A18" s="11" t="s">
        <v>33</v>
      </c>
      <c r="B18" s="8"/>
      <c r="C18" s="8"/>
    </row>
    <row r="19" spans="1:15" x14ac:dyDescent="0.2">
      <c r="A19" s="7">
        <v>27.9</v>
      </c>
      <c r="B19" s="8">
        <v>8.2118900000000004</v>
      </c>
      <c r="C19" s="8">
        <v>6.2115159999999996</v>
      </c>
      <c r="D19" t="s">
        <v>34</v>
      </c>
      <c r="G19" s="14" t="s">
        <v>35</v>
      </c>
      <c r="H19" s="14" t="s">
        <v>36</v>
      </c>
      <c r="I19" s="14" t="s">
        <v>62</v>
      </c>
      <c r="J19" s="14" t="s">
        <v>36</v>
      </c>
      <c r="K19" s="14" t="s">
        <v>37</v>
      </c>
      <c r="L19" s="14" t="s">
        <v>37</v>
      </c>
    </row>
    <row r="20" spans="1:15" x14ac:dyDescent="0.2">
      <c r="A20" s="7">
        <v>2.2999999999999998</v>
      </c>
      <c r="B20" s="8">
        <v>0.67696500000000004</v>
      </c>
      <c r="C20" s="8">
        <v>0.51205999999999996</v>
      </c>
      <c r="D20" t="s">
        <v>34</v>
      </c>
      <c r="G20" s="14" t="s">
        <v>60</v>
      </c>
      <c r="H20" s="14">
        <v>1976</v>
      </c>
      <c r="I20" s="23">
        <v>43410</v>
      </c>
      <c r="J20" s="14">
        <v>2019</v>
      </c>
      <c r="K20" s="14" t="s">
        <v>37</v>
      </c>
      <c r="L20" s="14" t="s">
        <v>37</v>
      </c>
    </row>
    <row r="21" spans="1:15" x14ac:dyDescent="0.2">
      <c r="A21" s="7">
        <v>5.9</v>
      </c>
      <c r="B21" s="8">
        <v>1.9969140000000001</v>
      </c>
      <c r="C21" s="8">
        <v>2.2101570000000001</v>
      </c>
      <c r="D21" t="s">
        <v>34</v>
      </c>
      <c r="G21" s="14" t="s">
        <v>35</v>
      </c>
      <c r="H21" s="14">
        <v>1981</v>
      </c>
      <c r="I21" s="23">
        <v>29816</v>
      </c>
      <c r="J21" s="14">
        <v>1981</v>
      </c>
      <c r="K21" s="14" t="s">
        <v>37</v>
      </c>
      <c r="L21" s="14" t="s">
        <v>37</v>
      </c>
    </row>
    <row r="22" spans="1:15" x14ac:dyDescent="0.2">
      <c r="A22" s="7">
        <v>3.9</v>
      </c>
      <c r="B22" s="8">
        <v>1.415586</v>
      </c>
      <c r="C22" s="8">
        <v>1.6239399999999999</v>
      </c>
      <c r="D22" t="s">
        <v>34</v>
      </c>
      <c r="G22" s="14" t="s">
        <v>35</v>
      </c>
      <c r="H22" s="14">
        <v>1985</v>
      </c>
      <c r="I22" s="23">
        <v>31174</v>
      </c>
      <c r="J22" s="14">
        <v>1985</v>
      </c>
      <c r="K22" s="14" t="s">
        <v>37</v>
      </c>
      <c r="L22" s="14" t="s">
        <v>37</v>
      </c>
    </row>
    <row r="23" spans="1:15" hidden="1" x14ac:dyDescent="0.2">
      <c r="A23" s="40">
        <v>0</v>
      </c>
      <c r="B23" s="41">
        <v>0</v>
      </c>
      <c r="C23" s="41">
        <v>0</v>
      </c>
      <c r="D23" s="42" t="s">
        <v>54</v>
      </c>
      <c r="E23" s="43"/>
      <c r="F23" s="43"/>
      <c r="G23" s="44" t="s">
        <v>43</v>
      </c>
      <c r="H23" s="45">
        <v>2005</v>
      </c>
      <c r="I23" s="46">
        <v>39511</v>
      </c>
      <c r="J23" s="45">
        <v>2008</v>
      </c>
      <c r="K23" s="45" t="s">
        <v>44</v>
      </c>
      <c r="L23" s="45">
        <v>2010</v>
      </c>
      <c r="M23" s="39" t="s">
        <v>57</v>
      </c>
    </row>
    <row r="24" spans="1:15" ht="15.75" x14ac:dyDescent="0.25">
      <c r="A24" s="50">
        <v>4.9000000000000004</v>
      </c>
      <c r="B24" s="52">
        <v>1.9708680000000001</v>
      </c>
      <c r="C24" s="52">
        <v>2.669152</v>
      </c>
      <c r="D24" s="47" t="s">
        <v>34</v>
      </c>
      <c r="G24" s="14" t="s">
        <v>35</v>
      </c>
      <c r="H24" s="22">
        <v>1991</v>
      </c>
      <c r="I24" s="21">
        <v>33365</v>
      </c>
      <c r="J24" s="22">
        <v>1991</v>
      </c>
      <c r="K24" s="22" t="s">
        <v>37</v>
      </c>
      <c r="L24" s="22" t="s">
        <v>37</v>
      </c>
      <c r="M24" s="28"/>
      <c r="N24" s="28"/>
      <c r="O24" s="14"/>
    </row>
    <row r="25" spans="1:15" ht="15.75" hidden="1" x14ac:dyDescent="0.25">
      <c r="A25" s="7">
        <v>0</v>
      </c>
      <c r="B25" s="8">
        <v>0</v>
      </c>
      <c r="C25" s="8">
        <v>0</v>
      </c>
      <c r="D25" t="s">
        <v>53</v>
      </c>
      <c r="G25" s="14" t="s">
        <v>41</v>
      </c>
      <c r="H25" s="14" t="s">
        <v>46</v>
      </c>
      <c r="I25" s="14" t="s">
        <v>47</v>
      </c>
      <c r="J25" s="14" t="s">
        <v>46</v>
      </c>
      <c r="K25" s="14" t="s">
        <v>42</v>
      </c>
      <c r="L25" s="14" t="s">
        <v>49</v>
      </c>
      <c r="M25" s="28" t="s">
        <v>56</v>
      </c>
      <c r="N25" s="28"/>
    </row>
    <row r="26" spans="1:15" ht="15.75" x14ac:dyDescent="0.25">
      <c r="A26" s="7">
        <v>6.9</v>
      </c>
      <c r="B26" s="8">
        <v>2.927794</v>
      </c>
      <c r="C26" s="8">
        <v>3.9731920000000001</v>
      </c>
      <c r="D26" t="s">
        <v>34</v>
      </c>
      <c r="G26" s="14" t="s">
        <v>35</v>
      </c>
      <c r="H26" s="14">
        <v>1994</v>
      </c>
      <c r="I26" s="23">
        <v>34373</v>
      </c>
      <c r="J26" s="14">
        <v>1994</v>
      </c>
      <c r="K26" s="14" t="s">
        <v>37</v>
      </c>
      <c r="L26" s="14" t="s">
        <v>37</v>
      </c>
      <c r="M26" s="78"/>
    </row>
    <row r="27" spans="1:15" ht="15.75" x14ac:dyDescent="0.25">
      <c r="A27" s="7">
        <v>2</v>
      </c>
      <c r="B27" s="8">
        <v>2</v>
      </c>
      <c r="C27" s="8">
        <v>2</v>
      </c>
      <c r="D27" t="s">
        <v>78</v>
      </c>
      <c r="G27" s="14" t="s">
        <v>41</v>
      </c>
      <c r="H27" s="14">
        <v>2009</v>
      </c>
      <c r="I27" s="23">
        <v>40120</v>
      </c>
      <c r="J27" s="14">
        <v>2009</v>
      </c>
      <c r="K27" s="14">
        <v>37</v>
      </c>
      <c r="L27" s="14">
        <v>2045</v>
      </c>
      <c r="M27" s="78"/>
    </row>
    <row r="28" spans="1:15" ht="15.75" x14ac:dyDescent="0.25">
      <c r="A28" s="7">
        <v>1.5</v>
      </c>
      <c r="B28" s="8">
        <v>1.5</v>
      </c>
      <c r="C28" s="8">
        <v>1.5</v>
      </c>
      <c r="D28" s="47" t="s">
        <v>79</v>
      </c>
      <c r="G28" s="49" t="s">
        <v>43</v>
      </c>
      <c r="H28" s="14">
        <v>2013</v>
      </c>
      <c r="I28" s="23">
        <v>43046</v>
      </c>
      <c r="J28" s="14">
        <v>2018</v>
      </c>
      <c r="K28" s="14">
        <v>10</v>
      </c>
      <c r="L28" s="14">
        <v>2027</v>
      </c>
      <c r="M28" s="78"/>
    </row>
    <row r="29" spans="1:15" x14ac:dyDescent="0.2">
      <c r="A29" s="9">
        <f>SUM(A19:A28)</f>
        <v>55.3</v>
      </c>
      <c r="B29" s="10">
        <f>SUM(B19:B28)</f>
        <v>20.700016999999999</v>
      </c>
      <c r="C29" s="10">
        <f>SUM(C19:C28)</f>
        <v>20.700016999999999</v>
      </c>
      <c r="D29" t="s">
        <v>38</v>
      </c>
    </row>
    <row r="30" spans="1:15" ht="15.75" thickBot="1" x14ac:dyDescent="0.25">
      <c r="A30" s="7"/>
      <c r="B30" s="8"/>
      <c r="C30" s="8"/>
    </row>
    <row r="31" spans="1:15" ht="16.5" thickTop="1" x14ac:dyDescent="0.25">
      <c r="A31" s="71">
        <f>(+A17+A29)</f>
        <v>59.099999999999994</v>
      </c>
      <c r="B31" s="72">
        <f>(+B17+B29)</f>
        <v>24.500017</v>
      </c>
      <c r="C31" s="72">
        <f>(+C17+C29)</f>
        <v>24.500017</v>
      </c>
      <c r="D31" t="s">
        <v>45</v>
      </c>
    </row>
    <row r="34" spans="1:14" x14ac:dyDescent="0.2">
      <c r="A34" s="7"/>
      <c r="B34" s="8"/>
      <c r="C34" s="8"/>
    </row>
    <row r="35" spans="1:14" x14ac:dyDescent="0.2">
      <c r="A35" s="15" t="s">
        <v>14</v>
      </c>
      <c r="B35" s="17" t="s">
        <v>15</v>
      </c>
      <c r="C35" s="17" t="s">
        <v>12</v>
      </c>
      <c r="I35" s="19" t="s">
        <v>51</v>
      </c>
      <c r="J35" s="4"/>
      <c r="K35" s="4"/>
      <c r="L35" s="4"/>
      <c r="M35" s="54"/>
      <c r="N35" s="31"/>
    </row>
    <row r="36" spans="1:14" x14ac:dyDescent="0.2">
      <c r="A36" s="15" t="s">
        <v>16</v>
      </c>
      <c r="B36" s="17" t="s">
        <v>17</v>
      </c>
      <c r="C36" s="17" t="s">
        <v>17</v>
      </c>
      <c r="I36" s="14" t="s">
        <v>4</v>
      </c>
      <c r="J36" s="14" t="s">
        <v>4</v>
      </c>
      <c r="K36" s="14" t="s">
        <v>4</v>
      </c>
      <c r="L36" s="14" t="s">
        <v>4</v>
      </c>
      <c r="M36" s="33"/>
      <c r="N36" s="33"/>
    </row>
    <row r="37" spans="1:14" ht="15.75" thickBot="1" x14ac:dyDescent="0.25">
      <c r="A37" s="16" t="s">
        <v>22</v>
      </c>
      <c r="B37" s="18" t="s">
        <v>23</v>
      </c>
      <c r="C37" s="18" t="s">
        <v>23</v>
      </c>
      <c r="D37" s="1" t="s">
        <v>24</v>
      </c>
      <c r="E37" s="1"/>
      <c r="F37" s="1"/>
      <c r="G37" s="1"/>
      <c r="H37" s="1"/>
      <c r="I37" s="13" t="s">
        <v>11</v>
      </c>
      <c r="J37" s="13" t="s">
        <v>12</v>
      </c>
      <c r="K37" s="13" t="s">
        <v>3</v>
      </c>
      <c r="L37" s="13" t="s">
        <v>39</v>
      </c>
      <c r="M37" s="34"/>
      <c r="N37" s="35"/>
    </row>
    <row r="38" spans="1:14" ht="15.75" thickTop="1" x14ac:dyDescent="0.2">
      <c r="A38" s="3" t="s">
        <v>31</v>
      </c>
      <c r="I38" s="6"/>
      <c r="J38" s="6"/>
      <c r="K38" s="6"/>
      <c r="L38" s="6"/>
      <c r="M38" s="31"/>
      <c r="N38" s="31"/>
    </row>
    <row r="39" spans="1:14" x14ac:dyDescent="0.2">
      <c r="A39" s="7">
        <f t="shared" ref="A39:C40" si="1">A15</f>
        <v>2.8</v>
      </c>
      <c r="B39" s="8">
        <f t="shared" si="1"/>
        <v>2.8</v>
      </c>
      <c r="C39" s="8">
        <f t="shared" si="1"/>
        <v>2.8</v>
      </c>
      <c r="D39" t="s">
        <v>40</v>
      </c>
      <c r="I39" s="6">
        <f>($I$9*B39)/1000</f>
        <v>2741648.56</v>
      </c>
      <c r="J39" s="6">
        <f>($J$9*C39)/1000</f>
        <v>366810.08</v>
      </c>
      <c r="K39" s="6">
        <f>($K$9*A39)/1000</f>
        <v>123587.57599999999</v>
      </c>
      <c r="L39" s="6">
        <f>SUM(I39:K39)</f>
        <v>3232046.216</v>
      </c>
      <c r="M39" s="26"/>
      <c r="N39" s="25"/>
    </row>
    <row r="40" spans="1:14" x14ac:dyDescent="0.2">
      <c r="A40" s="7">
        <f t="shared" si="1"/>
        <v>1</v>
      </c>
      <c r="B40" s="8">
        <f t="shared" si="1"/>
        <v>1</v>
      </c>
      <c r="C40" s="8">
        <f t="shared" si="1"/>
        <v>1</v>
      </c>
      <c r="D40" t="s">
        <v>84</v>
      </c>
      <c r="I40" s="6">
        <f>($I$9*B40)/1000</f>
        <v>979160.2</v>
      </c>
      <c r="J40" s="6">
        <f>($J$9*C40)/1000</f>
        <v>131003.6</v>
      </c>
      <c r="K40" s="6">
        <f>($K$9*A40)/1000</f>
        <v>44138.42</v>
      </c>
      <c r="L40" s="6">
        <f>SUM(I40:K40)</f>
        <v>1154302.22</v>
      </c>
      <c r="M40" s="26"/>
      <c r="N40" s="25"/>
    </row>
    <row r="41" spans="1:14" x14ac:dyDescent="0.2">
      <c r="A41" s="9">
        <f>SUM(A38:A40)</f>
        <v>3.8</v>
      </c>
      <c r="B41" s="10">
        <f>SUM(B38:B40)</f>
        <v>3.8</v>
      </c>
      <c r="C41" s="10">
        <f>SUM(C38:C40)</f>
        <v>3.8</v>
      </c>
      <c r="D41" t="s">
        <v>32</v>
      </c>
      <c r="I41" s="2">
        <f>SUM(I39:I40)</f>
        <v>3720808.76</v>
      </c>
      <c r="J41" s="2">
        <f>SUM(J39:J40)</f>
        <v>497813.68000000005</v>
      </c>
      <c r="K41" s="2">
        <f>SUM(K39:K40)</f>
        <v>167725.99599999998</v>
      </c>
      <c r="L41" s="2">
        <f>SUM(L39:L40)</f>
        <v>4386348.4359999998</v>
      </c>
      <c r="M41" s="26"/>
      <c r="N41" s="25"/>
    </row>
    <row r="42" spans="1:14" x14ac:dyDescent="0.2">
      <c r="A42" s="11" t="s">
        <v>33</v>
      </c>
      <c r="B42" s="8"/>
      <c r="C42" s="8"/>
      <c r="I42" s="6"/>
      <c r="J42" s="6"/>
      <c r="K42" s="6"/>
      <c r="L42" s="6"/>
      <c r="M42" s="31"/>
      <c r="N42" s="31"/>
    </row>
    <row r="43" spans="1:14" x14ac:dyDescent="0.2">
      <c r="A43" s="7">
        <f t="shared" ref="A43:C50" si="2">A19</f>
        <v>27.9</v>
      </c>
      <c r="B43" s="8">
        <f t="shared" si="2"/>
        <v>8.2118900000000004</v>
      </c>
      <c r="C43" s="8">
        <f t="shared" si="2"/>
        <v>6.2115159999999996</v>
      </c>
      <c r="D43" t="s">
        <v>34</v>
      </c>
      <c r="I43" s="6">
        <f t="shared" ref="I43:I51" si="3">($I$9*B43)/1000</f>
        <v>8040755.8547780002</v>
      </c>
      <c r="J43" s="6">
        <f t="shared" ref="J43:J51" si="4">($J$9*C43)/1000</f>
        <v>813730.95745760005</v>
      </c>
      <c r="K43" s="6">
        <f t="shared" ref="K43:K51" si="5">($K$9*A43)/1000</f>
        <v>1231461.9180000001</v>
      </c>
      <c r="L43" s="6">
        <f t="shared" ref="L43:L52" si="6">SUM(I43:K43)</f>
        <v>10085948.730235599</v>
      </c>
      <c r="M43" s="26"/>
      <c r="N43" s="25"/>
    </row>
    <row r="44" spans="1:14" x14ac:dyDescent="0.2">
      <c r="A44" s="7">
        <f t="shared" si="2"/>
        <v>2.2999999999999998</v>
      </c>
      <c r="B44" s="8">
        <f t="shared" si="2"/>
        <v>0.67696500000000004</v>
      </c>
      <c r="C44" s="8">
        <f t="shared" si="2"/>
        <v>0.51205999999999996</v>
      </c>
      <c r="D44" t="s">
        <v>34</v>
      </c>
      <c r="I44" s="6">
        <f t="shared" si="3"/>
        <v>662857.18479299999</v>
      </c>
      <c r="J44" s="6">
        <f t="shared" si="4"/>
        <v>67081.703415999989</v>
      </c>
      <c r="K44" s="6">
        <f t="shared" si="5"/>
        <v>101518.36599999998</v>
      </c>
      <c r="L44" s="6">
        <f t="shared" si="6"/>
        <v>831457.25420899992</v>
      </c>
      <c r="M44" s="26"/>
      <c r="N44" s="25"/>
    </row>
    <row r="45" spans="1:14" x14ac:dyDescent="0.2">
      <c r="A45" s="7">
        <f t="shared" si="2"/>
        <v>5.9</v>
      </c>
      <c r="B45" s="8">
        <f t="shared" si="2"/>
        <v>1.9969140000000001</v>
      </c>
      <c r="C45" s="8">
        <f t="shared" si="2"/>
        <v>2.2101570000000001</v>
      </c>
      <c r="D45" t="s">
        <v>34</v>
      </c>
      <c r="I45" s="6">
        <f t="shared" si="3"/>
        <v>1955298.7116228002</v>
      </c>
      <c r="J45" s="6">
        <f t="shared" si="4"/>
        <v>289538.52356520004</v>
      </c>
      <c r="K45" s="6">
        <f t="shared" si="5"/>
        <v>260416.67800000004</v>
      </c>
      <c r="L45" s="6">
        <f t="shared" si="6"/>
        <v>2505253.9131880002</v>
      </c>
      <c r="M45" s="26"/>
      <c r="N45" s="25"/>
    </row>
    <row r="46" spans="1:14" x14ac:dyDescent="0.2">
      <c r="A46" s="7">
        <f t="shared" si="2"/>
        <v>3.9</v>
      </c>
      <c r="B46" s="8">
        <f t="shared" si="2"/>
        <v>1.415586</v>
      </c>
      <c r="C46" s="8">
        <f t="shared" si="2"/>
        <v>1.6239399999999999</v>
      </c>
      <c r="D46" t="s">
        <v>34</v>
      </c>
      <c r="I46" s="6">
        <f t="shared" si="3"/>
        <v>1386085.4708772001</v>
      </c>
      <c r="J46" s="6">
        <f t="shared" si="4"/>
        <v>212741.98618399998</v>
      </c>
      <c r="K46" s="6">
        <f t="shared" si="5"/>
        <v>172139.83799999999</v>
      </c>
      <c r="L46" s="6">
        <f t="shared" si="6"/>
        <v>1770967.2950612002</v>
      </c>
      <c r="M46" s="26"/>
      <c r="N46" s="25"/>
    </row>
    <row r="47" spans="1:14" hidden="1" x14ac:dyDescent="0.2">
      <c r="A47" s="7">
        <f t="shared" si="2"/>
        <v>0</v>
      </c>
      <c r="B47" s="8">
        <f t="shared" si="2"/>
        <v>0</v>
      </c>
      <c r="C47" s="8">
        <f t="shared" si="2"/>
        <v>0</v>
      </c>
      <c r="D47" s="42" t="s">
        <v>55</v>
      </c>
      <c r="E47" s="43"/>
      <c r="F47" s="43"/>
      <c r="I47" s="6">
        <f>($I$9*B47)/1000</f>
        <v>0</v>
      </c>
      <c r="J47" s="6">
        <f>($J$9*C47)/1000</f>
        <v>0</v>
      </c>
      <c r="K47" s="6">
        <f>($K$9*A47)/1000</f>
        <v>0</v>
      </c>
      <c r="L47" s="6">
        <f t="shared" si="6"/>
        <v>0</v>
      </c>
      <c r="M47" s="31"/>
      <c r="N47" s="25"/>
    </row>
    <row r="48" spans="1:14" x14ac:dyDescent="0.2">
      <c r="A48" s="7">
        <f t="shared" si="2"/>
        <v>4.9000000000000004</v>
      </c>
      <c r="B48" s="8">
        <f t="shared" si="2"/>
        <v>1.9708680000000001</v>
      </c>
      <c r="C48" s="8">
        <f t="shared" si="2"/>
        <v>2.669152</v>
      </c>
      <c r="D48" s="47" t="s">
        <v>34</v>
      </c>
      <c r="I48" s="6">
        <f>($I$9*B48)/1000</f>
        <v>1929795.5050536001</v>
      </c>
      <c r="J48" s="6">
        <f>($J$9*C48)/1000</f>
        <v>349668.52094720001</v>
      </c>
      <c r="K48" s="6">
        <f>($K$9*A48)/1000</f>
        <v>216278.25800000003</v>
      </c>
      <c r="L48" s="6">
        <f t="shared" si="6"/>
        <v>2495742.2840008</v>
      </c>
      <c r="M48" s="31"/>
      <c r="N48" s="25"/>
    </row>
    <row r="49" spans="1:16" hidden="1" x14ac:dyDescent="0.2">
      <c r="A49" s="7">
        <f t="shared" si="2"/>
        <v>0</v>
      </c>
      <c r="B49" s="8">
        <f t="shared" si="2"/>
        <v>0</v>
      </c>
      <c r="C49" s="8">
        <f t="shared" si="2"/>
        <v>0</v>
      </c>
      <c r="D49" t="s">
        <v>48</v>
      </c>
      <c r="I49" s="6">
        <f t="shared" si="3"/>
        <v>0</v>
      </c>
      <c r="J49" s="6">
        <f t="shared" si="4"/>
        <v>0</v>
      </c>
      <c r="K49" s="6">
        <f t="shared" si="5"/>
        <v>0</v>
      </c>
      <c r="L49" s="6">
        <f t="shared" si="6"/>
        <v>0</v>
      </c>
      <c r="M49" s="31"/>
      <c r="N49" s="25"/>
      <c r="O49" s="29"/>
    </row>
    <row r="50" spans="1:16" x14ac:dyDescent="0.2">
      <c r="A50" s="7">
        <f t="shared" si="2"/>
        <v>6.9</v>
      </c>
      <c r="B50" s="8">
        <f t="shared" si="2"/>
        <v>2.927794</v>
      </c>
      <c r="C50" s="8">
        <f t="shared" si="2"/>
        <v>3.9731920000000001</v>
      </c>
      <c r="D50" t="s">
        <v>34</v>
      </c>
      <c r="I50" s="6">
        <f t="shared" si="3"/>
        <v>2866779.3585988004</v>
      </c>
      <c r="J50" s="6">
        <f t="shared" si="4"/>
        <v>520502.45549120003</v>
      </c>
      <c r="K50" s="6">
        <f t="shared" si="5"/>
        <v>304555.098</v>
      </c>
      <c r="L50" s="6">
        <f t="shared" si="6"/>
        <v>3691836.9120900007</v>
      </c>
      <c r="M50" s="31"/>
      <c r="N50" s="25"/>
      <c r="O50" s="29"/>
    </row>
    <row r="51" spans="1:16" x14ac:dyDescent="0.2">
      <c r="A51" s="7">
        <v>3.25</v>
      </c>
      <c r="B51" s="8">
        <v>3.25</v>
      </c>
      <c r="C51" s="8">
        <v>3.25</v>
      </c>
      <c r="D51" t="s">
        <v>80</v>
      </c>
      <c r="I51" s="6">
        <f t="shared" si="3"/>
        <v>3182270.65</v>
      </c>
      <c r="J51" s="6">
        <f t="shared" si="4"/>
        <v>425761.7</v>
      </c>
      <c r="K51" s="6">
        <f t="shared" si="5"/>
        <v>143449.86499999999</v>
      </c>
      <c r="L51" s="6">
        <f t="shared" si="6"/>
        <v>3751482.2149999999</v>
      </c>
      <c r="M51" s="31"/>
      <c r="N51" s="25"/>
      <c r="O51" s="29"/>
    </row>
    <row r="52" spans="1:16" x14ac:dyDescent="0.2">
      <c r="A52" s="7">
        <f t="shared" ref="A52:C52" si="7">A28</f>
        <v>1.5</v>
      </c>
      <c r="B52" s="8">
        <f t="shared" si="7"/>
        <v>1.5</v>
      </c>
      <c r="C52" s="8">
        <f t="shared" si="7"/>
        <v>1.5</v>
      </c>
      <c r="D52" s="47" t="s">
        <v>81</v>
      </c>
      <c r="I52" s="6">
        <f>($I$9*B52)/1000</f>
        <v>1468740.3</v>
      </c>
      <c r="J52" s="6">
        <f>($J$9*C52)/1000</f>
        <v>196505.4</v>
      </c>
      <c r="K52" s="6">
        <f>($K$9*A52)/1000</f>
        <v>66207.63</v>
      </c>
      <c r="L52" s="6">
        <f t="shared" si="6"/>
        <v>1731453.33</v>
      </c>
      <c r="M52" s="31"/>
      <c r="N52" s="25"/>
      <c r="O52" s="29"/>
    </row>
    <row r="53" spans="1:16" x14ac:dyDescent="0.2">
      <c r="A53" s="9">
        <f>SUM(A43:A52)</f>
        <v>56.55</v>
      </c>
      <c r="B53" s="10">
        <f>SUM(B43:B52)</f>
        <v>21.950016999999999</v>
      </c>
      <c r="C53" s="10">
        <f>SUM(C43:C52)</f>
        <v>21.950016999999999</v>
      </c>
      <c r="D53" t="s">
        <v>38</v>
      </c>
      <c r="I53" s="2">
        <f>SUM(I43:I50)</f>
        <v>16841572.0857234</v>
      </c>
      <c r="J53" s="2">
        <f>SUM(J43:J50)</f>
        <v>2253264.1470611999</v>
      </c>
      <c r="K53" s="2">
        <f>SUM(K43:K50)</f>
        <v>2286370.1560000004</v>
      </c>
      <c r="L53" s="2">
        <f>SUM(L43:L52)</f>
        <v>26864141.933784597</v>
      </c>
      <c r="M53" s="26"/>
      <c r="N53" s="25"/>
    </row>
    <row r="54" spans="1:16" ht="15.75" thickBot="1" x14ac:dyDescent="0.25">
      <c r="A54" s="7"/>
      <c r="B54" s="8"/>
      <c r="C54" s="8"/>
      <c r="I54" s="6"/>
      <c r="J54" s="6"/>
      <c r="K54" s="6"/>
      <c r="L54" s="6"/>
      <c r="M54" s="31"/>
      <c r="N54" s="31"/>
    </row>
    <row r="55" spans="1:16" ht="16.5" thickTop="1" x14ac:dyDescent="0.25">
      <c r="A55" s="71">
        <f>(+A41+A53)</f>
        <v>60.349999999999994</v>
      </c>
      <c r="B55" s="72">
        <f>(+B41+B53)</f>
        <v>25.750017</v>
      </c>
      <c r="C55" s="72">
        <f>(+C41+C53)</f>
        <v>25.750017</v>
      </c>
      <c r="D55" t="s">
        <v>45</v>
      </c>
      <c r="I55" s="12">
        <f>(+I41+I53)</f>
        <v>20562380.845723398</v>
      </c>
      <c r="J55" s="12">
        <f>(+J41+J53)</f>
        <v>2751077.8270612</v>
      </c>
      <c r="K55" s="12">
        <f>(+K41+K53)</f>
        <v>2454096.1520000002</v>
      </c>
      <c r="L55" s="12">
        <f>(+L41+L53)</f>
        <v>31250490.369784597</v>
      </c>
      <c r="M55" s="36"/>
      <c r="N55" s="36"/>
    </row>
    <row r="56" spans="1:16" x14ac:dyDescent="0.2">
      <c r="I56" s="6"/>
      <c r="J56" s="6"/>
      <c r="K56" s="6"/>
      <c r="L56" s="117">
        <v>2269679</v>
      </c>
      <c r="M56" s="118" t="s">
        <v>122</v>
      </c>
    </row>
    <row r="57" spans="1:16" x14ac:dyDescent="0.2">
      <c r="F57" s="37"/>
      <c r="G57" s="37"/>
      <c r="H57" s="55"/>
      <c r="I57" s="69"/>
      <c r="J57" s="56"/>
      <c r="K57" s="53"/>
      <c r="L57" s="53"/>
      <c r="M57" s="53"/>
      <c r="N57" s="53"/>
      <c r="O57" s="67"/>
      <c r="P57" s="68"/>
    </row>
    <row r="58" spans="1:16" x14ac:dyDescent="0.2">
      <c r="F58" s="38"/>
      <c r="G58" s="38"/>
      <c r="H58" s="57"/>
      <c r="I58" s="70"/>
      <c r="J58" s="59"/>
      <c r="K58" s="60"/>
      <c r="L58" s="60"/>
      <c r="M58" s="64"/>
      <c r="N58" s="64"/>
      <c r="O58" s="62"/>
      <c r="P58" s="62"/>
    </row>
    <row r="59" spans="1:16" ht="15.75" x14ac:dyDescent="0.25">
      <c r="C59" s="24" t="s">
        <v>95</v>
      </c>
      <c r="F59" s="38"/>
      <c r="G59" s="38"/>
      <c r="H59" s="57"/>
      <c r="I59" s="58"/>
      <c r="J59" s="59"/>
      <c r="K59" s="60"/>
      <c r="L59" s="60"/>
      <c r="M59" s="62"/>
      <c r="N59" s="62"/>
      <c r="O59" s="62"/>
      <c r="P59" s="62"/>
    </row>
    <row r="60" spans="1:16" x14ac:dyDescent="0.2">
      <c r="F60" s="38"/>
      <c r="G60" s="38"/>
      <c r="H60" s="57"/>
      <c r="I60" s="58"/>
      <c r="J60" s="59"/>
      <c r="K60" s="60"/>
      <c r="L60" s="60"/>
      <c r="M60" s="62"/>
      <c r="N60" s="62"/>
      <c r="O60" s="62"/>
      <c r="P60" s="62"/>
    </row>
    <row r="61" spans="1:16" x14ac:dyDescent="0.2">
      <c r="F61" s="38"/>
      <c r="G61" s="38"/>
      <c r="H61" s="57"/>
      <c r="I61" s="58"/>
      <c r="J61" s="59"/>
      <c r="K61" s="60"/>
      <c r="L61" s="60"/>
      <c r="M61" s="64"/>
      <c r="N61" s="64"/>
      <c r="O61" s="62"/>
      <c r="P61" s="62"/>
    </row>
    <row r="62" spans="1:16" x14ac:dyDescent="0.2">
      <c r="F62" s="38"/>
      <c r="G62" s="38"/>
      <c r="H62" s="57"/>
      <c r="I62" s="58"/>
      <c r="J62" s="59"/>
      <c r="K62" s="60"/>
      <c r="L62" s="60"/>
      <c r="M62" s="64"/>
      <c r="N62" s="64"/>
      <c r="O62" s="62"/>
      <c r="P62" s="62"/>
    </row>
    <row r="63" spans="1:16" x14ac:dyDescent="0.2">
      <c r="F63" s="38"/>
      <c r="G63" s="38"/>
      <c r="H63" s="57"/>
      <c r="I63" s="58"/>
      <c r="J63" s="59"/>
      <c r="K63" s="60"/>
      <c r="L63" s="60"/>
      <c r="M63" s="64"/>
      <c r="N63" s="64"/>
      <c r="O63" s="62"/>
      <c r="P63" s="62"/>
    </row>
    <row r="64" spans="1:16" x14ac:dyDescent="0.2">
      <c r="F64" s="38"/>
      <c r="G64" s="38"/>
      <c r="H64" s="57"/>
      <c r="I64" s="58"/>
      <c r="J64" s="59"/>
      <c r="K64" s="60"/>
      <c r="L64" s="60"/>
      <c r="M64" s="64"/>
      <c r="N64" s="64"/>
      <c r="O64" s="62"/>
      <c r="P64" s="62"/>
    </row>
    <row r="65" spans="6:16" x14ac:dyDescent="0.2">
      <c r="F65" s="27"/>
      <c r="G65" s="27"/>
      <c r="H65" s="61"/>
      <c r="I65" s="63"/>
      <c r="J65" s="63"/>
      <c r="K65" s="61"/>
      <c r="L65" s="64"/>
      <c r="M65" s="64"/>
      <c r="N65" s="64"/>
      <c r="O65" s="54"/>
      <c r="P65" s="54"/>
    </row>
    <row r="66" spans="6:16" x14ac:dyDescent="0.2">
      <c r="H66" s="54"/>
      <c r="I66" s="54"/>
      <c r="J66" s="54"/>
      <c r="K66" s="54"/>
      <c r="L66" s="66"/>
      <c r="M66" s="66"/>
      <c r="N66" s="66"/>
      <c r="O66" s="54"/>
      <c r="P66" s="54"/>
    </row>
    <row r="67" spans="6:16" x14ac:dyDescent="0.2">
      <c r="H67" s="54"/>
      <c r="I67" s="65"/>
      <c r="J67" s="54"/>
      <c r="K67" s="54"/>
      <c r="L67" s="66"/>
      <c r="M67" s="62"/>
      <c r="N67" s="62"/>
      <c r="O67" s="54"/>
      <c r="P67" s="54"/>
    </row>
    <row r="68" spans="6:16" x14ac:dyDescent="0.2">
      <c r="H68" s="54"/>
      <c r="I68" s="54"/>
      <c r="J68" s="54"/>
      <c r="K68" s="54"/>
      <c r="L68" s="54"/>
      <c r="M68" s="54"/>
      <c r="N68" s="54"/>
      <c r="O68" s="54"/>
      <c r="P68" s="54"/>
    </row>
    <row r="70" spans="6:16" x14ac:dyDescent="0.2">
      <c r="I70" s="31"/>
    </row>
    <row r="71" spans="6:16" x14ac:dyDescent="0.2">
      <c r="I71" s="31"/>
    </row>
    <row r="72" spans="6:16" x14ac:dyDescent="0.2">
      <c r="I72" s="31"/>
    </row>
    <row r="73" spans="6:16" ht="15.75" x14ac:dyDescent="0.25">
      <c r="I73" s="32"/>
    </row>
  </sheetData>
  <mergeCells count="1">
    <mergeCell ref="K2:N3"/>
  </mergeCells>
  <pageMargins left="0.7" right="0.7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P57"/>
  <sheetViews>
    <sheetView workbookViewId="0">
      <selection activeCell="M9" sqref="M9"/>
    </sheetView>
  </sheetViews>
  <sheetFormatPr defaultColWidth="13.21875" defaultRowHeight="15" x14ac:dyDescent="0.2"/>
  <cols>
    <col min="1" max="1" width="12.77734375" customWidth="1"/>
    <col min="2" max="10" width="12.21875" customWidth="1"/>
    <col min="11" max="11" width="13.77734375" customWidth="1"/>
    <col min="12" max="12" width="12.21875" customWidth="1"/>
    <col min="13" max="13" width="16.21875" customWidth="1"/>
    <col min="14" max="14" width="14.5546875" bestFit="1" customWidth="1"/>
  </cols>
  <sheetData>
    <row r="2" spans="1:14" ht="18" customHeight="1" x14ac:dyDescent="0.25">
      <c r="A2" s="74" t="s">
        <v>82</v>
      </c>
      <c r="B2" s="47"/>
      <c r="C2" s="47"/>
      <c r="D2" s="39"/>
      <c r="K2" s="119"/>
      <c r="L2" s="119"/>
      <c r="M2" s="119"/>
      <c r="N2" s="119"/>
    </row>
    <row r="3" spans="1:14" ht="15.75" customHeight="1" x14ac:dyDescent="0.25">
      <c r="A3" s="47"/>
      <c r="B3" s="47"/>
      <c r="C3" s="47"/>
      <c r="D3" s="47"/>
      <c r="F3" s="24" t="str">
        <f>'Danbury LSD'!$F$3</f>
        <v>TAX YEAR:     2024</v>
      </c>
      <c r="H3" s="24" t="str">
        <f>'Danbury LSD'!$H$3</f>
        <v>COLLECTION YEAR:     2025</v>
      </c>
      <c r="J3" s="30"/>
      <c r="K3" s="119"/>
      <c r="L3" s="119"/>
      <c r="M3" s="119"/>
      <c r="N3" s="119"/>
    </row>
    <row r="4" spans="1:14" x14ac:dyDescent="0.2">
      <c r="A4" s="47"/>
      <c r="B4" s="47"/>
      <c r="C4" s="47"/>
      <c r="D4" s="47"/>
      <c r="H4" s="5"/>
    </row>
    <row r="5" spans="1:14" ht="15.75" x14ac:dyDescent="0.25">
      <c r="A5" s="24" t="s">
        <v>0</v>
      </c>
      <c r="B5" s="73" t="str">
        <f>'Danbury LSD'!$B$5</f>
        <v>January 1, 2024</v>
      </c>
      <c r="H5" s="14" t="s">
        <v>1</v>
      </c>
      <c r="L5" s="14" t="s">
        <v>2</v>
      </c>
    </row>
    <row r="6" spans="1:14" x14ac:dyDescent="0.2">
      <c r="F6" s="19" t="s">
        <v>50</v>
      </c>
      <c r="G6" s="4"/>
      <c r="H6" s="14" t="s">
        <v>3</v>
      </c>
      <c r="I6" s="14" t="s">
        <v>4</v>
      </c>
      <c r="J6" s="14" t="s">
        <v>4</v>
      </c>
      <c r="K6" s="14" t="s">
        <v>4</v>
      </c>
      <c r="L6" s="14" t="s">
        <v>4</v>
      </c>
    </row>
    <row r="7" spans="1:14" ht="15.75" thickBot="1" x14ac:dyDescent="0.25">
      <c r="A7" s="20" t="s">
        <v>52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3</v>
      </c>
      <c r="H7" s="13" t="s">
        <v>10</v>
      </c>
      <c r="I7" s="13" t="s">
        <v>11</v>
      </c>
      <c r="J7" s="13" t="s">
        <v>12</v>
      </c>
      <c r="K7" s="13" t="s">
        <v>3</v>
      </c>
      <c r="L7" s="13" t="s">
        <v>13</v>
      </c>
      <c r="M7" s="101" t="s">
        <v>96</v>
      </c>
    </row>
    <row r="8" spans="1:14" ht="15.75" thickTop="1" x14ac:dyDescent="0.2">
      <c r="A8" s="48">
        <f>717930+157180</f>
        <v>875110</v>
      </c>
      <c r="B8" s="48">
        <v>0</v>
      </c>
      <c r="C8" s="48">
        <v>214850</v>
      </c>
      <c r="D8" s="48">
        <f>8954550+37040360</f>
        <v>45994910</v>
      </c>
      <c r="E8" s="48">
        <f>130327610+32216350+1034090</f>
        <v>163578050</v>
      </c>
      <c r="F8" s="51">
        <v>0</v>
      </c>
      <c r="G8" s="51">
        <v>8841410</v>
      </c>
      <c r="H8" s="6"/>
      <c r="I8" s="6">
        <f>A8+E8</f>
        <v>164453160</v>
      </c>
      <c r="J8" s="6">
        <f>B8+C8+D8+F8</f>
        <v>46209760</v>
      </c>
      <c r="K8" s="6">
        <f>G8+H8</f>
        <v>8841410</v>
      </c>
      <c r="L8" s="6">
        <f>I8+J8+K8</f>
        <v>219504330</v>
      </c>
      <c r="M8" s="100">
        <v>19061560</v>
      </c>
    </row>
    <row r="9" spans="1:14" x14ac:dyDescent="0.2">
      <c r="A9" s="2">
        <f t="shared" ref="A9:M9" si="0">SUM(A8:A8)</f>
        <v>875110</v>
      </c>
      <c r="B9" s="2">
        <f t="shared" si="0"/>
        <v>0</v>
      </c>
      <c r="C9" s="2">
        <f t="shared" si="0"/>
        <v>214850</v>
      </c>
      <c r="D9" s="2">
        <f t="shared" si="0"/>
        <v>45994910</v>
      </c>
      <c r="E9" s="2">
        <f t="shared" si="0"/>
        <v>163578050</v>
      </c>
      <c r="F9" s="2">
        <f t="shared" si="0"/>
        <v>0</v>
      </c>
      <c r="G9" s="2">
        <f t="shared" si="0"/>
        <v>8841410</v>
      </c>
      <c r="H9" s="2">
        <f t="shared" si="0"/>
        <v>0</v>
      </c>
      <c r="I9" s="2">
        <f t="shared" si="0"/>
        <v>164453160</v>
      </c>
      <c r="J9" s="2">
        <f t="shared" si="0"/>
        <v>46209760</v>
      </c>
      <c r="K9" s="2">
        <f t="shared" si="0"/>
        <v>8841410</v>
      </c>
      <c r="L9" s="2">
        <f t="shared" si="0"/>
        <v>219504330</v>
      </c>
      <c r="M9" s="90">
        <f t="shared" si="0"/>
        <v>19061560</v>
      </c>
    </row>
    <row r="10" spans="1:14" x14ac:dyDescent="0.2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x14ac:dyDescent="0.2">
      <c r="A11" s="14" t="s">
        <v>14</v>
      </c>
      <c r="B11" s="14" t="s">
        <v>15</v>
      </c>
      <c r="C11" s="14" t="s">
        <v>12</v>
      </c>
    </row>
    <row r="12" spans="1:14" x14ac:dyDescent="0.2">
      <c r="A12" s="14" t="s">
        <v>16</v>
      </c>
      <c r="B12" s="14" t="s">
        <v>17</v>
      </c>
      <c r="C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20</v>
      </c>
    </row>
    <row r="13" spans="1:14" ht="15.75" thickBot="1" x14ac:dyDescent="0.25">
      <c r="A13" s="13" t="s">
        <v>22</v>
      </c>
      <c r="B13" s="13" t="s">
        <v>23</v>
      </c>
      <c r="C13" s="13" t="s">
        <v>23</v>
      </c>
      <c r="D13" s="1" t="s">
        <v>24</v>
      </c>
      <c r="E13" s="1"/>
      <c r="F13" s="1"/>
      <c r="G13" s="13" t="s">
        <v>25</v>
      </c>
      <c r="H13" s="13" t="s">
        <v>26</v>
      </c>
      <c r="I13" s="13" t="s">
        <v>27</v>
      </c>
      <c r="J13" s="13" t="s">
        <v>28</v>
      </c>
      <c r="K13" s="13" t="s">
        <v>29</v>
      </c>
      <c r="L13" s="13" t="s">
        <v>30</v>
      </c>
    </row>
    <row r="14" spans="1:14" ht="15.75" thickTop="1" x14ac:dyDescent="0.2">
      <c r="A14" s="3" t="s">
        <v>31</v>
      </c>
    </row>
    <row r="15" spans="1:14" x14ac:dyDescent="0.2">
      <c r="A15" s="7">
        <v>3.4</v>
      </c>
      <c r="B15" s="8">
        <v>3.4</v>
      </c>
      <c r="C15" s="8">
        <v>3.4</v>
      </c>
      <c r="D15" t="s">
        <v>40</v>
      </c>
    </row>
    <row r="16" spans="1:14" x14ac:dyDescent="0.2">
      <c r="A16" s="7">
        <v>1</v>
      </c>
      <c r="B16" s="8">
        <v>1</v>
      </c>
      <c r="C16" s="8">
        <v>1</v>
      </c>
      <c r="D16" t="s">
        <v>58</v>
      </c>
    </row>
    <row r="17" spans="1:14" x14ac:dyDescent="0.2">
      <c r="A17" s="9">
        <f>SUM(A14:A16)</f>
        <v>4.4000000000000004</v>
      </c>
      <c r="B17" s="10">
        <f>SUM(B14:B16)</f>
        <v>4.4000000000000004</v>
      </c>
      <c r="C17" s="10">
        <f>SUM(C14:C16)</f>
        <v>4.4000000000000004</v>
      </c>
      <c r="D17" t="s">
        <v>32</v>
      </c>
    </row>
    <row r="18" spans="1:14" x14ac:dyDescent="0.2">
      <c r="A18" s="11" t="s">
        <v>33</v>
      </c>
      <c r="B18" s="8"/>
      <c r="C18" s="8"/>
    </row>
    <row r="19" spans="1:14" x14ac:dyDescent="0.2">
      <c r="A19" s="7">
        <v>25.4</v>
      </c>
      <c r="B19" s="8">
        <v>16.600017000000001</v>
      </c>
      <c r="C19" s="8">
        <v>16.600017000000001</v>
      </c>
      <c r="D19" t="s">
        <v>34</v>
      </c>
      <c r="G19" s="14" t="s">
        <v>35</v>
      </c>
      <c r="H19" s="14" t="s">
        <v>36</v>
      </c>
      <c r="I19" s="14" t="s">
        <v>62</v>
      </c>
      <c r="J19" s="14" t="s">
        <v>36</v>
      </c>
      <c r="K19" s="14" t="s">
        <v>37</v>
      </c>
      <c r="L19" s="14" t="s">
        <v>37</v>
      </c>
    </row>
    <row r="20" spans="1:14" x14ac:dyDescent="0.2">
      <c r="A20" s="7">
        <v>0.5</v>
      </c>
      <c r="B20" s="8">
        <v>0.19633500000000001</v>
      </c>
      <c r="C20" s="8">
        <v>0.24052899999999999</v>
      </c>
      <c r="D20" t="s">
        <v>83</v>
      </c>
      <c r="G20" s="14" t="s">
        <v>60</v>
      </c>
      <c r="H20" s="14">
        <v>1982</v>
      </c>
      <c r="I20" s="23">
        <v>44138</v>
      </c>
      <c r="J20" s="14">
        <v>2021</v>
      </c>
      <c r="K20" s="14">
        <v>5</v>
      </c>
      <c r="L20" s="14">
        <v>2025</v>
      </c>
    </row>
    <row r="21" spans="1:14" x14ac:dyDescent="0.2">
      <c r="A21" s="9">
        <f>SUM(A19:A20)</f>
        <v>25.9</v>
      </c>
      <c r="B21" s="10">
        <f>SUM(B19:B20)</f>
        <v>16.796352000000002</v>
      </c>
      <c r="C21" s="10">
        <f>SUM(C19:C20)</f>
        <v>16.840546</v>
      </c>
      <c r="D21" t="s">
        <v>38</v>
      </c>
    </row>
    <row r="22" spans="1:14" ht="15.75" thickBot="1" x14ac:dyDescent="0.25">
      <c r="A22" s="7"/>
      <c r="B22" s="8"/>
      <c r="C22" s="8"/>
    </row>
    <row r="23" spans="1:14" ht="16.5" thickTop="1" x14ac:dyDescent="0.25">
      <c r="A23" s="71">
        <f>(+A17+A21)</f>
        <v>30.299999999999997</v>
      </c>
      <c r="B23" s="72">
        <f>(+B17+B21)</f>
        <v>21.196352000000005</v>
      </c>
      <c r="C23" s="72">
        <f>(+C17+C21)</f>
        <v>21.240546000000002</v>
      </c>
      <c r="D23" t="s">
        <v>45</v>
      </c>
    </row>
    <row r="26" spans="1:14" x14ac:dyDescent="0.2">
      <c r="A26" s="7"/>
      <c r="B26" s="8"/>
      <c r="C26" s="8"/>
    </row>
    <row r="27" spans="1:14" x14ac:dyDescent="0.2">
      <c r="A27" s="15" t="s">
        <v>14</v>
      </c>
      <c r="B27" s="17" t="s">
        <v>15</v>
      </c>
      <c r="C27" s="17" t="s">
        <v>12</v>
      </c>
      <c r="I27" s="19" t="s">
        <v>51</v>
      </c>
      <c r="J27" s="4"/>
      <c r="K27" s="4"/>
      <c r="L27" s="4"/>
      <c r="M27" s="54"/>
      <c r="N27" s="31"/>
    </row>
    <row r="28" spans="1:14" x14ac:dyDescent="0.2">
      <c r="A28" s="15" t="s">
        <v>16</v>
      </c>
      <c r="B28" s="17" t="s">
        <v>17</v>
      </c>
      <c r="C28" s="17" t="s">
        <v>17</v>
      </c>
      <c r="I28" s="14" t="s">
        <v>4</v>
      </c>
      <c r="J28" s="14" t="s">
        <v>4</v>
      </c>
      <c r="K28" s="14" t="s">
        <v>4</v>
      </c>
      <c r="L28" s="14" t="s">
        <v>4</v>
      </c>
      <c r="M28" s="33"/>
      <c r="N28" s="33"/>
    </row>
    <row r="29" spans="1:14" ht="15.75" thickBot="1" x14ac:dyDescent="0.25">
      <c r="A29" s="16" t="s">
        <v>22</v>
      </c>
      <c r="B29" s="18" t="s">
        <v>23</v>
      </c>
      <c r="C29" s="18" t="s">
        <v>23</v>
      </c>
      <c r="D29" s="1" t="s">
        <v>24</v>
      </c>
      <c r="E29" s="1"/>
      <c r="F29" s="1"/>
      <c r="G29" s="1"/>
      <c r="H29" s="1"/>
      <c r="I29" s="13" t="s">
        <v>11</v>
      </c>
      <c r="J29" s="13" t="s">
        <v>12</v>
      </c>
      <c r="K29" s="13" t="s">
        <v>3</v>
      </c>
      <c r="L29" s="13" t="s">
        <v>39</v>
      </c>
      <c r="M29" s="34"/>
      <c r="N29" s="35"/>
    </row>
    <row r="30" spans="1:14" ht="15.75" thickTop="1" x14ac:dyDescent="0.2">
      <c r="A30" s="3" t="s">
        <v>31</v>
      </c>
      <c r="I30" s="6"/>
      <c r="J30" s="6"/>
      <c r="K30" s="6"/>
      <c r="L30" s="6"/>
      <c r="M30" s="31"/>
      <c r="N30" s="31"/>
    </row>
    <row r="31" spans="1:14" x14ac:dyDescent="0.2">
      <c r="A31" s="7">
        <f t="shared" ref="A31:C32" si="1">A15</f>
        <v>3.4</v>
      </c>
      <c r="B31" s="8">
        <f t="shared" si="1"/>
        <v>3.4</v>
      </c>
      <c r="C31" s="8">
        <f t="shared" si="1"/>
        <v>3.4</v>
      </c>
      <c r="D31" t="s">
        <v>40</v>
      </c>
      <c r="I31" s="6">
        <f>($I$9*B31)/1000</f>
        <v>559140.74399999995</v>
      </c>
      <c r="J31" s="6">
        <f>($J$9*C31)/1000</f>
        <v>157113.18400000001</v>
      </c>
      <c r="K31" s="6">
        <f>($K$9*A31)/1000</f>
        <v>30060.794000000002</v>
      </c>
      <c r="L31" s="6">
        <f>SUM(I31:K31)</f>
        <v>746314.72199999995</v>
      </c>
      <c r="M31" s="26"/>
      <c r="N31" s="25"/>
    </row>
    <row r="32" spans="1:14" x14ac:dyDescent="0.2">
      <c r="A32" s="7">
        <f t="shared" si="1"/>
        <v>1</v>
      </c>
      <c r="B32" s="8">
        <f t="shared" si="1"/>
        <v>1</v>
      </c>
      <c r="C32" s="8">
        <f t="shared" si="1"/>
        <v>1</v>
      </c>
      <c r="D32" t="s">
        <v>58</v>
      </c>
      <c r="I32" s="6">
        <f>($I$9*B32)/1000</f>
        <v>164453.16</v>
      </c>
      <c r="J32" s="6">
        <f>($J$9*C32)/1000</f>
        <v>46209.760000000002</v>
      </c>
      <c r="K32" s="6">
        <f>($K$9*A32)/1000</f>
        <v>8841.41</v>
      </c>
      <c r="L32" s="6">
        <f>SUM(I32:K32)</f>
        <v>219504.33000000002</v>
      </c>
      <c r="M32" s="26"/>
      <c r="N32" s="25"/>
    </row>
    <row r="33" spans="1:16" x14ac:dyDescent="0.2">
      <c r="A33" s="9">
        <f>SUM(A30:A32)</f>
        <v>4.4000000000000004</v>
      </c>
      <c r="B33" s="10">
        <f>SUM(B30:B32)</f>
        <v>4.4000000000000004</v>
      </c>
      <c r="C33" s="10">
        <f>SUM(C30:C32)</f>
        <v>4.4000000000000004</v>
      </c>
      <c r="D33" t="s">
        <v>32</v>
      </c>
      <c r="I33" s="2">
        <f>SUM(I31:I32)</f>
        <v>723593.90399999998</v>
      </c>
      <c r="J33" s="2">
        <f>SUM(J31:J32)</f>
        <v>203322.94400000002</v>
      </c>
      <c r="K33" s="2">
        <f>SUM(K31:K32)</f>
        <v>38902.203999999998</v>
      </c>
      <c r="L33" s="2">
        <f>SUM(L31:L32)</f>
        <v>965819.05199999991</v>
      </c>
      <c r="M33" s="26"/>
      <c r="N33" s="25"/>
    </row>
    <row r="34" spans="1:16" x14ac:dyDescent="0.2">
      <c r="A34" s="11" t="s">
        <v>33</v>
      </c>
      <c r="B34" s="8"/>
      <c r="C34" s="8"/>
      <c r="I34" s="6"/>
      <c r="J34" s="6"/>
      <c r="K34" s="6"/>
      <c r="L34" s="6"/>
      <c r="M34" s="31"/>
      <c r="N34" s="31"/>
    </row>
    <row r="35" spans="1:16" x14ac:dyDescent="0.2">
      <c r="A35" s="7">
        <f t="shared" ref="A35:C36" si="2">A19</f>
        <v>25.4</v>
      </c>
      <c r="B35" s="8">
        <f t="shared" si="2"/>
        <v>16.600017000000001</v>
      </c>
      <c r="C35" s="8">
        <f t="shared" si="2"/>
        <v>16.600017000000001</v>
      </c>
      <c r="D35" t="s">
        <v>34</v>
      </c>
      <c r="I35" s="6">
        <f>($I$9*B35)/1000</f>
        <v>2729925.2517037201</v>
      </c>
      <c r="J35" s="6">
        <f>($J$9*C35)/1000</f>
        <v>767082.80156592</v>
      </c>
      <c r="K35" s="6">
        <f>($K$9*A35)/1000</f>
        <v>224571.81400000001</v>
      </c>
      <c r="L35" s="6">
        <f>SUM(I35:K35)</f>
        <v>3721579.8672696399</v>
      </c>
      <c r="M35" s="26"/>
      <c r="N35" s="25"/>
    </row>
    <row r="36" spans="1:16" x14ac:dyDescent="0.2">
      <c r="A36" s="7">
        <f t="shared" si="2"/>
        <v>0.5</v>
      </c>
      <c r="B36" s="8">
        <f t="shared" si="2"/>
        <v>0.19633500000000001</v>
      </c>
      <c r="C36" s="8">
        <f t="shared" si="2"/>
        <v>0.24052899999999999</v>
      </c>
      <c r="D36" t="s">
        <v>83</v>
      </c>
      <c r="I36" s="6">
        <f>($I$9*B36)/1000</f>
        <v>32287.9111686</v>
      </c>
      <c r="J36" s="6">
        <f>($J$9*C36)/1000</f>
        <v>11114.787363040001</v>
      </c>
      <c r="K36" s="6">
        <f>($K$9*A36)/1000</f>
        <v>4420.7049999999999</v>
      </c>
      <c r="L36" s="6">
        <f>SUM(I36:K36)</f>
        <v>47823.403531640004</v>
      </c>
      <c r="M36" s="26"/>
      <c r="N36" s="25"/>
    </row>
    <row r="37" spans="1:16" x14ac:dyDescent="0.2">
      <c r="A37" s="9">
        <f>SUM(A35:A36)</f>
        <v>25.9</v>
      </c>
      <c r="B37" s="10">
        <f>SUM(B35:B36)</f>
        <v>16.796352000000002</v>
      </c>
      <c r="C37" s="10">
        <f>SUM(C35:C36)</f>
        <v>16.840546</v>
      </c>
      <c r="D37" t="s">
        <v>38</v>
      </c>
      <c r="I37" s="2">
        <f>SUM(I35:I36)</f>
        <v>2762213.16287232</v>
      </c>
      <c r="J37" s="2">
        <f>SUM(J35:J36)</f>
        <v>778197.58892896003</v>
      </c>
      <c r="K37" s="2">
        <f>SUM(K35:K36)</f>
        <v>228992.519</v>
      </c>
      <c r="L37" s="2">
        <f>SUM(L35:L36)</f>
        <v>3769403.2708012797</v>
      </c>
      <c r="M37" s="26"/>
      <c r="N37" s="25"/>
    </row>
    <row r="38" spans="1:16" ht="15.75" thickBot="1" x14ac:dyDescent="0.25">
      <c r="A38" s="7"/>
      <c r="B38" s="8"/>
      <c r="C38" s="8"/>
      <c r="I38" s="6"/>
      <c r="J38" s="6"/>
      <c r="K38" s="6"/>
      <c r="L38" s="6"/>
      <c r="M38" s="31"/>
      <c r="N38" s="31"/>
    </row>
    <row r="39" spans="1:16" ht="16.5" thickTop="1" x14ac:dyDescent="0.25">
      <c r="A39" s="71">
        <f>(+A33+A37)</f>
        <v>30.299999999999997</v>
      </c>
      <c r="B39" s="72">
        <f>(+B33+B37)</f>
        <v>21.196352000000005</v>
      </c>
      <c r="C39" s="72">
        <f>(+C33+C37)</f>
        <v>21.240546000000002</v>
      </c>
      <c r="D39" t="s">
        <v>45</v>
      </c>
      <c r="I39" s="12">
        <f>(+I33+I37)</f>
        <v>3485807.0668723201</v>
      </c>
      <c r="J39" s="12">
        <f>(+J33+J37)</f>
        <v>981520.53292896005</v>
      </c>
      <c r="K39" s="12">
        <f>(+K33+K37)</f>
        <v>267894.723</v>
      </c>
      <c r="L39" s="12">
        <f>(+L33+L37)</f>
        <v>4735222.3228012798</v>
      </c>
      <c r="M39" s="36"/>
      <c r="N39" s="36"/>
    </row>
    <row r="40" spans="1:16" x14ac:dyDescent="0.2">
      <c r="I40" s="6"/>
      <c r="J40" s="6"/>
      <c r="K40" s="6"/>
      <c r="L40" s="6"/>
    </row>
    <row r="41" spans="1:16" x14ac:dyDescent="0.2">
      <c r="F41" s="37"/>
      <c r="G41" s="37"/>
      <c r="H41" s="55"/>
      <c r="I41" s="69"/>
      <c r="J41" s="56"/>
      <c r="K41" s="53"/>
      <c r="L41" s="53"/>
      <c r="M41" s="53"/>
      <c r="N41" s="53"/>
      <c r="O41" s="67"/>
      <c r="P41" s="68"/>
    </row>
    <row r="42" spans="1:16" x14ac:dyDescent="0.2">
      <c r="F42" s="38"/>
      <c r="G42" s="38"/>
      <c r="H42" s="57"/>
      <c r="I42" s="70"/>
      <c r="J42" s="59"/>
      <c r="K42" s="60"/>
      <c r="L42" s="60"/>
      <c r="M42" s="64"/>
      <c r="N42" s="64"/>
      <c r="O42" s="62"/>
      <c r="P42" s="62"/>
    </row>
    <row r="43" spans="1:16" ht="15.75" x14ac:dyDescent="0.25">
      <c r="D43" s="24" t="s">
        <v>95</v>
      </c>
      <c r="F43" s="38"/>
      <c r="G43" s="38"/>
      <c r="H43" s="57"/>
      <c r="I43" s="58"/>
      <c r="J43" s="59"/>
      <c r="K43" s="60"/>
      <c r="L43" s="60"/>
      <c r="M43" s="62"/>
      <c r="N43" s="62"/>
      <c r="O43" s="62"/>
      <c r="P43" s="62"/>
    </row>
    <row r="44" spans="1:16" x14ac:dyDescent="0.2">
      <c r="F44" s="38"/>
      <c r="G44" s="38"/>
      <c r="H44" s="57"/>
      <c r="I44" s="58"/>
      <c r="J44" s="59"/>
      <c r="K44" s="60"/>
      <c r="L44" s="60"/>
      <c r="M44" s="62"/>
      <c r="N44" s="62"/>
      <c r="O44" s="62"/>
      <c r="P44" s="62"/>
    </row>
    <row r="45" spans="1:16" x14ac:dyDescent="0.2">
      <c r="F45" s="38"/>
      <c r="G45" s="38"/>
      <c r="H45" s="57"/>
      <c r="I45" s="58"/>
      <c r="J45" s="59"/>
      <c r="K45" s="60"/>
      <c r="L45" s="60"/>
      <c r="M45" s="64"/>
      <c r="N45" s="64"/>
      <c r="O45" s="62"/>
      <c r="P45" s="62"/>
    </row>
    <row r="46" spans="1:16" x14ac:dyDescent="0.2">
      <c r="F46" s="38"/>
      <c r="G46" s="38"/>
      <c r="H46" s="57"/>
      <c r="I46" s="58"/>
      <c r="J46" s="59"/>
      <c r="K46" s="60"/>
      <c r="L46" s="60"/>
      <c r="M46" s="64"/>
      <c r="N46" s="64"/>
      <c r="O46" s="62"/>
      <c r="P46" s="62"/>
    </row>
    <row r="47" spans="1:16" x14ac:dyDescent="0.2">
      <c r="F47" s="38"/>
      <c r="G47" s="38"/>
      <c r="H47" s="57"/>
      <c r="I47" s="58"/>
      <c r="J47" s="59"/>
      <c r="K47" s="60"/>
      <c r="L47" s="60"/>
      <c r="M47" s="64"/>
      <c r="N47" s="64"/>
      <c r="O47" s="62"/>
      <c r="P47" s="62"/>
    </row>
    <row r="48" spans="1:16" x14ac:dyDescent="0.2">
      <c r="F48" s="38"/>
      <c r="G48" s="38"/>
      <c r="H48" s="57"/>
      <c r="I48" s="58"/>
      <c r="J48" s="59"/>
      <c r="K48" s="60"/>
      <c r="L48" s="60"/>
      <c r="M48" s="64"/>
      <c r="N48" s="64"/>
      <c r="O48" s="62"/>
      <c r="P48" s="62"/>
    </row>
    <row r="49" spans="6:16" x14ac:dyDescent="0.2">
      <c r="F49" s="27"/>
      <c r="G49" s="27"/>
      <c r="H49" s="61"/>
      <c r="I49" s="63"/>
      <c r="J49" s="63"/>
      <c r="K49" s="61"/>
      <c r="L49" s="64"/>
      <c r="M49" s="64"/>
      <c r="N49" s="64"/>
      <c r="O49" s="54"/>
      <c r="P49" s="54"/>
    </row>
    <row r="50" spans="6:16" x14ac:dyDescent="0.2">
      <c r="H50" s="54"/>
      <c r="I50" s="54"/>
      <c r="J50" s="54"/>
      <c r="K50" s="54"/>
      <c r="L50" s="66"/>
      <c r="M50" s="66"/>
      <c r="N50" s="66"/>
      <c r="O50" s="54"/>
      <c r="P50" s="54"/>
    </row>
    <row r="51" spans="6:16" x14ac:dyDescent="0.2">
      <c r="H51" s="54"/>
      <c r="I51" s="65"/>
      <c r="J51" s="54"/>
      <c r="K51" s="54"/>
      <c r="L51" s="66"/>
      <c r="M51" s="62"/>
      <c r="N51" s="62"/>
      <c r="O51" s="54"/>
      <c r="P51" s="54"/>
    </row>
    <row r="52" spans="6:16" x14ac:dyDescent="0.2">
      <c r="H52" s="54"/>
      <c r="I52" s="54"/>
      <c r="J52" s="54"/>
      <c r="K52" s="54"/>
      <c r="L52" s="54"/>
      <c r="M52" s="54"/>
      <c r="N52" s="54"/>
      <c r="O52" s="54"/>
      <c r="P52" s="54"/>
    </row>
    <row r="54" spans="6:16" x14ac:dyDescent="0.2">
      <c r="I54" s="31"/>
    </row>
    <row r="55" spans="6:16" x14ac:dyDescent="0.2">
      <c r="I55" s="31"/>
    </row>
    <row r="56" spans="6:16" x14ac:dyDescent="0.2">
      <c r="I56" s="31"/>
    </row>
    <row r="57" spans="6:16" ht="15.75" x14ac:dyDescent="0.25">
      <c r="I57" s="32"/>
    </row>
  </sheetData>
  <mergeCells count="1">
    <mergeCell ref="K2:N3"/>
  </mergeCells>
  <pageMargins left="0.7" right="0.7" top="0.75" bottom="0.75" header="0.3" footer="0.3"/>
  <pageSetup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Q70"/>
  <sheetViews>
    <sheetView workbookViewId="0">
      <selection activeCell="K2" sqref="K2:N3"/>
    </sheetView>
  </sheetViews>
  <sheetFormatPr defaultColWidth="13.21875" defaultRowHeight="15" x14ac:dyDescent="0.2"/>
  <cols>
    <col min="1" max="1" width="12.77734375" customWidth="1"/>
    <col min="2" max="10" width="12.21875" customWidth="1"/>
    <col min="11" max="11" width="13.77734375" customWidth="1"/>
    <col min="12" max="13" width="12.21875" customWidth="1"/>
    <col min="14" max="14" width="16.21875" customWidth="1"/>
    <col min="15" max="15" width="14.5546875" bestFit="1" customWidth="1"/>
  </cols>
  <sheetData>
    <row r="2" spans="1:15" ht="18" customHeight="1" x14ac:dyDescent="0.25">
      <c r="A2" s="74" t="s">
        <v>85</v>
      </c>
      <c r="B2" s="47"/>
      <c r="C2" s="47"/>
      <c r="D2" s="47"/>
      <c r="K2" s="119"/>
      <c r="L2" s="119"/>
      <c r="M2" s="119"/>
      <c r="N2" s="119"/>
    </row>
    <row r="3" spans="1:15" ht="15.75" customHeight="1" x14ac:dyDescent="0.25">
      <c r="A3" s="47"/>
      <c r="B3" s="47"/>
      <c r="C3" s="47"/>
      <c r="D3" s="47"/>
      <c r="F3" s="24" t="str">
        <f>'Danbury LSD'!$F$3</f>
        <v>TAX YEAR:     2024</v>
      </c>
      <c r="H3" s="24" t="str">
        <f>'Danbury LSD'!$H$3</f>
        <v>COLLECTION YEAR:     2025</v>
      </c>
      <c r="J3" s="30"/>
      <c r="K3" s="119"/>
      <c r="L3" s="119"/>
      <c r="M3" s="119"/>
      <c r="N3" s="119"/>
    </row>
    <row r="4" spans="1:15" x14ac:dyDescent="0.2">
      <c r="A4" s="47"/>
      <c r="B4" s="47"/>
      <c r="C4" s="47"/>
      <c r="D4" s="47"/>
      <c r="H4" s="5"/>
    </row>
    <row r="5" spans="1:15" ht="15.75" x14ac:dyDescent="0.25">
      <c r="A5" s="24" t="s">
        <v>0</v>
      </c>
      <c r="B5" s="73" t="str">
        <f>'Danbury LSD'!$B$5</f>
        <v>January 1, 2024</v>
      </c>
      <c r="H5" s="14" t="s">
        <v>1</v>
      </c>
      <c r="L5" s="14" t="s">
        <v>2</v>
      </c>
      <c r="M5" s="14"/>
    </row>
    <row r="6" spans="1:15" x14ac:dyDescent="0.2">
      <c r="F6" s="19" t="s">
        <v>50</v>
      </c>
      <c r="G6" s="4"/>
      <c r="H6" s="14" t="s">
        <v>3</v>
      </c>
      <c r="I6" s="14" t="s">
        <v>4</v>
      </c>
      <c r="J6" s="14" t="s">
        <v>4</v>
      </c>
      <c r="K6" s="14" t="s">
        <v>4</v>
      </c>
      <c r="L6" s="14" t="s">
        <v>4</v>
      </c>
      <c r="M6" s="14"/>
    </row>
    <row r="7" spans="1:15" ht="15.75" thickBot="1" x14ac:dyDescent="0.25">
      <c r="A7" s="20" t="s">
        <v>52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3</v>
      </c>
      <c r="H7" s="13" t="s">
        <v>10</v>
      </c>
      <c r="I7" s="13" t="s">
        <v>11</v>
      </c>
      <c r="J7" s="13" t="s">
        <v>12</v>
      </c>
      <c r="K7" s="13" t="s">
        <v>3</v>
      </c>
      <c r="L7" s="13" t="s">
        <v>13</v>
      </c>
      <c r="M7" s="110" t="s">
        <v>96</v>
      </c>
    </row>
    <row r="8" spans="1:15" ht="15.75" thickTop="1" x14ac:dyDescent="0.2">
      <c r="A8" s="48">
        <v>25388010</v>
      </c>
      <c r="B8" s="48">
        <v>0</v>
      </c>
      <c r="C8" s="48">
        <v>4992370</v>
      </c>
      <c r="D8" s="48">
        <f>102250+615680+2982510+37480</f>
        <v>3737920</v>
      </c>
      <c r="E8" s="48">
        <v>77840130</v>
      </c>
      <c r="F8" s="51">
        <v>0</v>
      </c>
      <c r="G8" s="51">
        <v>4964700</v>
      </c>
      <c r="H8" s="6"/>
      <c r="I8" s="6">
        <f>A8+E8</f>
        <v>103228140</v>
      </c>
      <c r="J8" s="6">
        <f>B8+C8+D8+F8</f>
        <v>8730290</v>
      </c>
      <c r="K8" s="6">
        <f>G8+H8</f>
        <v>4964700</v>
      </c>
      <c r="L8" s="6">
        <f>I8+J8+K8</f>
        <v>116923130</v>
      </c>
      <c r="M8" s="111">
        <v>4392060</v>
      </c>
      <c r="N8" t="s">
        <v>94</v>
      </c>
    </row>
    <row r="9" spans="1:15" x14ac:dyDescent="0.2">
      <c r="A9" s="6">
        <v>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f>E9+A9</f>
        <v>0</v>
      </c>
      <c r="J9" s="6">
        <f>D9+B9+C9+F9</f>
        <v>0</v>
      </c>
      <c r="K9" s="6">
        <f>G9+H9</f>
        <v>0</v>
      </c>
      <c r="L9" s="77">
        <f>I9+J9+K9</f>
        <v>0</v>
      </c>
      <c r="M9" s="112">
        <v>0</v>
      </c>
      <c r="N9" s="47" t="s">
        <v>86</v>
      </c>
      <c r="O9" s="6"/>
    </row>
    <row r="10" spans="1:15" x14ac:dyDescent="0.2">
      <c r="A10" s="2">
        <f t="shared" ref="A10:M10" si="0">SUM(A8:A9)</f>
        <v>25388010</v>
      </c>
      <c r="B10" s="2">
        <f t="shared" si="0"/>
        <v>0</v>
      </c>
      <c r="C10" s="2">
        <f t="shared" si="0"/>
        <v>4992370</v>
      </c>
      <c r="D10" s="2">
        <f t="shared" si="0"/>
        <v>3737920</v>
      </c>
      <c r="E10" s="2">
        <f t="shared" si="0"/>
        <v>77840130</v>
      </c>
      <c r="F10" s="2">
        <f t="shared" si="0"/>
        <v>0</v>
      </c>
      <c r="G10" s="2">
        <f t="shared" si="0"/>
        <v>4964700</v>
      </c>
      <c r="H10" s="2">
        <f t="shared" si="0"/>
        <v>0</v>
      </c>
      <c r="I10" s="2">
        <f t="shared" si="0"/>
        <v>103228140</v>
      </c>
      <c r="J10" s="2">
        <f t="shared" si="0"/>
        <v>8730290</v>
      </c>
      <c r="K10" s="2">
        <f t="shared" si="0"/>
        <v>4964700</v>
      </c>
      <c r="L10" s="2">
        <f t="shared" si="0"/>
        <v>116923130</v>
      </c>
      <c r="M10" s="2">
        <f t="shared" si="0"/>
        <v>4392060</v>
      </c>
    </row>
    <row r="11" spans="1:15" x14ac:dyDescent="0.2">
      <c r="A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5" x14ac:dyDescent="0.2">
      <c r="A12" s="14" t="s">
        <v>14</v>
      </c>
      <c r="B12" s="14" t="s">
        <v>15</v>
      </c>
      <c r="C12" s="14" t="s">
        <v>12</v>
      </c>
    </row>
    <row r="13" spans="1:15" x14ac:dyDescent="0.2">
      <c r="A13" s="14" t="s">
        <v>16</v>
      </c>
      <c r="B13" s="14" t="s">
        <v>17</v>
      </c>
      <c r="C13" s="14" t="s">
        <v>17</v>
      </c>
      <c r="H13" s="14" t="s">
        <v>18</v>
      </c>
      <c r="I13" s="14" t="s">
        <v>19</v>
      </c>
      <c r="J13" s="14" t="s">
        <v>20</v>
      </c>
      <c r="K13" s="14" t="s">
        <v>21</v>
      </c>
      <c r="L13" s="14" t="s">
        <v>20</v>
      </c>
      <c r="M13" s="14"/>
    </row>
    <row r="14" spans="1:15" ht="15.75" thickBot="1" x14ac:dyDescent="0.25">
      <c r="A14" s="13" t="s">
        <v>22</v>
      </c>
      <c r="B14" s="13" t="s">
        <v>23</v>
      </c>
      <c r="C14" s="13" t="s">
        <v>23</v>
      </c>
      <c r="D14" s="1" t="s">
        <v>24</v>
      </c>
      <c r="E14" s="1"/>
      <c r="F14" s="1"/>
      <c r="G14" s="13" t="s">
        <v>25</v>
      </c>
      <c r="H14" s="13" t="s">
        <v>26</v>
      </c>
      <c r="I14" s="13" t="s">
        <v>27</v>
      </c>
      <c r="J14" s="13" t="s">
        <v>28</v>
      </c>
      <c r="K14" s="13" t="s">
        <v>29</v>
      </c>
      <c r="L14" s="13" t="s">
        <v>30</v>
      </c>
      <c r="M14" s="35"/>
    </row>
    <row r="15" spans="1:15" ht="15.75" thickTop="1" x14ac:dyDescent="0.2">
      <c r="A15" s="3" t="s">
        <v>31</v>
      </c>
    </row>
    <row r="16" spans="1:15" x14ac:dyDescent="0.2">
      <c r="A16" s="7">
        <v>4</v>
      </c>
      <c r="B16" s="8">
        <v>4</v>
      </c>
      <c r="C16" s="8">
        <v>4</v>
      </c>
      <c r="D16" t="s">
        <v>40</v>
      </c>
    </row>
    <row r="17" spans="1:16" x14ac:dyDescent="0.2">
      <c r="A17" s="9">
        <f>SUM(A15:A16)</f>
        <v>4</v>
      </c>
      <c r="B17" s="10">
        <f>SUM(B15:B16)</f>
        <v>4</v>
      </c>
      <c r="C17" s="10">
        <f>SUM(C15:C16)</f>
        <v>4</v>
      </c>
      <c r="D17" t="s">
        <v>32</v>
      </c>
    </row>
    <row r="18" spans="1:16" x14ac:dyDescent="0.2">
      <c r="A18" s="11" t="s">
        <v>33</v>
      </c>
      <c r="B18" s="8"/>
      <c r="C18" s="8"/>
    </row>
    <row r="19" spans="1:16" x14ac:dyDescent="0.2">
      <c r="A19" s="7">
        <v>23.2</v>
      </c>
      <c r="B19" s="8">
        <v>11.011601000000001</v>
      </c>
      <c r="C19" s="8">
        <v>12.356783999999999</v>
      </c>
      <c r="D19" t="s">
        <v>34</v>
      </c>
      <c r="G19" s="14" t="s">
        <v>35</v>
      </c>
      <c r="H19" s="14" t="s">
        <v>36</v>
      </c>
      <c r="I19" s="14" t="s">
        <v>62</v>
      </c>
      <c r="J19" s="14" t="s">
        <v>36</v>
      </c>
      <c r="K19" s="14" t="s">
        <v>37</v>
      </c>
      <c r="L19" s="14" t="s">
        <v>37</v>
      </c>
      <c r="M19" s="14"/>
    </row>
    <row r="20" spans="1:16" x14ac:dyDescent="0.2">
      <c r="A20" s="7">
        <v>6.5</v>
      </c>
      <c r="B20" s="8">
        <v>3.3817680000000001</v>
      </c>
      <c r="C20" s="8">
        <v>4.852887</v>
      </c>
      <c r="D20" t="s">
        <v>34</v>
      </c>
      <c r="G20" s="14" t="s">
        <v>35</v>
      </c>
      <c r="H20" s="14">
        <v>1980</v>
      </c>
      <c r="I20" s="23">
        <v>29375</v>
      </c>
      <c r="J20" s="14">
        <v>1980</v>
      </c>
      <c r="K20" s="14" t="s">
        <v>37</v>
      </c>
      <c r="L20" s="14" t="s">
        <v>37</v>
      </c>
      <c r="M20" s="14"/>
    </row>
    <row r="21" spans="1:16" x14ac:dyDescent="0.2">
      <c r="A21" s="7">
        <v>3</v>
      </c>
      <c r="B21" s="8">
        <v>1.606638</v>
      </c>
      <c r="C21" s="8">
        <v>2.419737</v>
      </c>
      <c r="D21" t="s">
        <v>34</v>
      </c>
      <c r="G21" s="14" t="s">
        <v>35</v>
      </c>
      <c r="H21" s="14">
        <v>1986</v>
      </c>
      <c r="I21" s="23">
        <v>31720</v>
      </c>
      <c r="J21" s="14">
        <v>1986</v>
      </c>
      <c r="K21" s="14" t="s">
        <v>37</v>
      </c>
      <c r="L21" s="14" t="s">
        <v>37</v>
      </c>
      <c r="M21" s="14"/>
    </row>
    <row r="22" spans="1:16" x14ac:dyDescent="0.2">
      <c r="A22" s="7">
        <v>3</v>
      </c>
      <c r="B22" s="8">
        <v>1.7691840000000001</v>
      </c>
      <c r="C22" s="8">
        <v>2.419737</v>
      </c>
      <c r="D22" t="s">
        <v>58</v>
      </c>
      <c r="G22" s="14" t="s">
        <v>60</v>
      </c>
      <c r="H22" s="14">
        <v>2008</v>
      </c>
      <c r="I22" s="23">
        <v>44873</v>
      </c>
      <c r="J22" s="14">
        <v>2023</v>
      </c>
      <c r="K22" s="14" t="s">
        <v>37</v>
      </c>
      <c r="L22" s="14" t="s">
        <v>37</v>
      </c>
      <c r="M22" s="14"/>
    </row>
    <row r="23" spans="1:16" hidden="1" x14ac:dyDescent="0.2">
      <c r="A23" s="40">
        <v>0</v>
      </c>
      <c r="B23" s="41">
        <v>0</v>
      </c>
      <c r="C23" s="41">
        <v>0</v>
      </c>
      <c r="D23" s="42" t="s">
        <v>54</v>
      </c>
      <c r="E23" s="43"/>
      <c r="F23" s="43"/>
      <c r="G23" s="44" t="s">
        <v>43</v>
      </c>
      <c r="H23" s="45">
        <v>2005</v>
      </c>
      <c r="I23" s="46">
        <v>39511</v>
      </c>
      <c r="J23" s="45">
        <v>2008</v>
      </c>
      <c r="K23" s="45" t="s">
        <v>44</v>
      </c>
      <c r="L23" s="45">
        <v>2010</v>
      </c>
      <c r="M23" s="45"/>
      <c r="N23" s="39" t="s">
        <v>57</v>
      </c>
    </row>
    <row r="24" spans="1:16" ht="15.75" x14ac:dyDescent="0.25">
      <c r="A24" s="50">
        <v>5.3</v>
      </c>
      <c r="B24" s="52">
        <v>5.3</v>
      </c>
      <c r="C24" s="52">
        <v>5.3</v>
      </c>
      <c r="D24" s="47" t="s">
        <v>101</v>
      </c>
      <c r="G24" s="14" t="s">
        <v>98</v>
      </c>
      <c r="H24" s="22">
        <v>2009</v>
      </c>
      <c r="I24" s="21">
        <v>44320</v>
      </c>
      <c r="J24" s="22">
        <v>2021</v>
      </c>
      <c r="K24" s="22">
        <v>10</v>
      </c>
      <c r="L24" s="22">
        <v>2030</v>
      </c>
      <c r="M24" s="22"/>
      <c r="N24" s="28"/>
      <c r="O24" s="28"/>
      <c r="P24" s="14"/>
    </row>
    <row r="25" spans="1:16" ht="15.75" hidden="1" x14ac:dyDescent="0.25">
      <c r="A25" s="7">
        <v>0</v>
      </c>
      <c r="B25" s="8">
        <v>0</v>
      </c>
      <c r="C25" s="8">
        <v>0</v>
      </c>
      <c r="D25" t="s">
        <v>53</v>
      </c>
      <c r="G25" s="14" t="s">
        <v>41</v>
      </c>
      <c r="H25" s="14" t="s">
        <v>46</v>
      </c>
      <c r="I25" s="14" t="s">
        <v>47</v>
      </c>
      <c r="J25" s="14" t="s">
        <v>46</v>
      </c>
      <c r="K25" s="14" t="s">
        <v>42</v>
      </c>
      <c r="L25" s="14" t="s">
        <v>49</v>
      </c>
      <c r="M25" s="14"/>
      <c r="N25" s="28" t="s">
        <v>56</v>
      </c>
      <c r="O25" s="28"/>
    </row>
    <row r="26" spans="1:16" ht="15.75" x14ac:dyDescent="0.25">
      <c r="A26" s="7">
        <v>3</v>
      </c>
      <c r="B26" s="8">
        <v>3</v>
      </c>
      <c r="C26" s="8">
        <v>3</v>
      </c>
      <c r="D26" t="s">
        <v>87</v>
      </c>
      <c r="G26" s="14" t="s">
        <v>41</v>
      </c>
      <c r="H26" s="14">
        <v>2012</v>
      </c>
      <c r="I26" s="23">
        <v>40974</v>
      </c>
      <c r="J26" s="14">
        <v>2012</v>
      </c>
      <c r="K26" s="14">
        <v>37</v>
      </c>
      <c r="L26" s="14">
        <v>2048</v>
      </c>
      <c r="M26" s="14"/>
      <c r="N26" s="78"/>
    </row>
    <row r="27" spans="1:16" ht="15.75" x14ac:dyDescent="0.25">
      <c r="A27" s="7">
        <v>0.5</v>
      </c>
      <c r="B27" s="8">
        <v>0.29707099999999997</v>
      </c>
      <c r="C27" s="8">
        <v>0.40328900000000001</v>
      </c>
      <c r="D27" s="47" t="s">
        <v>58</v>
      </c>
      <c r="G27" s="49" t="s">
        <v>35</v>
      </c>
      <c r="H27" s="14">
        <v>2012</v>
      </c>
      <c r="I27" s="23">
        <v>40974</v>
      </c>
      <c r="J27" s="14">
        <v>2012</v>
      </c>
      <c r="K27" s="14" t="s">
        <v>37</v>
      </c>
      <c r="L27" s="14" t="s">
        <v>37</v>
      </c>
      <c r="M27" s="14"/>
      <c r="N27" s="78"/>
    </row>
    <row r="28" spans="1:16" x14ac:dyDescent="0.2">
      <c r="A28" s="9">
        <f>SUM(A19:A27)</f>
        <v>44.5</v>
      </c>
      <c r="B28" s="10">
        <f>SUM(B19:B27)</f>
        <v>26.366261999999999</v>
      </c>
      <c r="C28" s="10">
        <f>SUM(C19:C27)</f>
        <v>30.752434000000004</v>
      </c>
      <c r="D28" t="s">
        <v>38</v>
      </c>
    </row>
    <row r="29" spans="1:16" ht="15.75" thickBot="1" x14ac:dyDescent="0.25">
      <c r="A29" s="7"/>
      <c r="B29" s="8"/>
      <c r="C29" s="8"/>
    </row>
    <row r="30" spans="1:16" ht="16.5" thickTop="1" x14ac:dyDescent="0.25">
      <c r="A30" s="71">
        <f>(+A17+A28)</f>
        <v>48.5</v>
      </c>
      <c r="B30" s="72">
        <f>(+B17+B28)</f>
        <v>30.366261999999999</v>
      </c>
      <c r="C30" s="72">
        <f>(+C17+C28)</f>
        <v>34.752434000000008</v>
      </c>
      <c r="D30" t="s">
        <v>45</v>
      </c>
    </row>
    <row r="33" spans="1:16" x14ac:dyDescent="0.2">
      <c r="A33" s="7"/>
      <c r="B33" s="8"/>
      <c r="C33" s="8"/>
    </row>
    <row r="34" spans="1:16" x14ac:dyDescent="0.2">
      <c r="A34" s="15" t="s">
        <v>14</v>
      </c>
      <c r="B34" s="17" t="s">
        <v>15</v>
      </c>
      <c r="C34" s="17" t="s">
        <v>12</v>
      </c>
      <c r="I34" s="19" t="s">
        <v>51</v>
      </c>
      <c r="J34" s="4"/>
      <c r="K34" s="4"/>
      <c r="L34" s="4"/>
      <c r="M34" s="109"/>
      <c r="N34" s="54"/>
      <c r="O34" s="31"/>
    </row>
    <row r="35" spans="1:16" x14ac:dyDescent="0.2">
      <c r="A35" s="15" t="s">
        <v>16</v>
      </c>
      <c r="B35" s="17" t="s">
        <v>17</v>
      </c>
      <c r="C35" s="17" t="s">
        <v>17</v>
      </c>
      <c r="I35" s="14" t="s">
        <v>4</v>
      </c>
      <c r="J35" s="14" t="s">
        <v>4</v>
      </c>
      <c r="K35" s="14" t="s">
        <v>4</v>
      </c>
      <c r="L35" s="14" t="s">
        <v>4</v>
      </c>
      <c r="M35" s="14"/>
      <c r="N35" s="33"/>
      <c r="O35" s="33"/>
    </row>
    <row r="36" spans="1:16" ht="15.75" thickBot="1" x14ac:dyDescent="0.25">
      <c r="A36" s="16" t="s">
        <v>22</v>
      </c>
      <c r="B36" s="18" t="s">
        <v>23</v>
      </c>
      <c r="C36" s="18" t="s">
        <v>23</v>
      </c>
      <c r="D36" s="1" t="s">
        <v>24</v>
      </c>
      <c r="E36" s="1"/>
      <c r="F36" s="1"/>
      <c r="G36" s="1"/>
      <c r="H36" s="1"/>
      <c r="I36" s="13" t="s">
        <v>11</v>
      </c>
      <c r="J36" s="13" t="s">
        <v>12</v>
      </c>
      <c r="K36" s="13" t="s">
        <v>3</v>
      </c>
      <c r="L36" s="13" t="s">
        <v>39</v>
      </c>
      <c r="M36" s="35"/>
      <c r="N36" s="34"/>
      <c r="O36" s="35"/>
    </row>
    <row r="37" spans="1:16" ht="15.75" thickTop="1" x14ac:dyDescent="0.2">
      <c r="A37" s="3" t="s">
        <v>31</v>
      </c>
      <c r="I37" s="6"/>
      <c r="J37" s="6"/>
      <c r="K37" s="6"/>
      <c r="L37" s="6"/>
      <c r="M37" s="6"/>
      <c r="N37" s="31"/>
      <c r="O37" s="31"/>
    </row>
    <row r="38" spans="1:16" x14ac:dyDescent="0.2">
      <c r="A38" s="7">
        <f>A16</f>
        <v>4</v>
      </c>
      <c r="B38" s="8">
        <f>B16</f>
        <v>4</v>
      </c>
      <c r="C38" s="8">
        <f>C16</f>
        <v>4</v>
      </c>
      <c r="D38" t="s">
        <v>40</v>
      </c>
      <c r="I38" s="6">
        <f>($I$10*B38)/1000</f>
        <v>412912.56</v>
      </c>
      <c r="J38" s="6">
        <f>($J$10*C38)/1000</f>
        <v>34921.160000000003</v>
      </c>
      <c r="K38" s="6">
        <f>($K$10*A38)/1000</f>
        <v>19858.8</v>
      </c>
      <c r="L38" s="6">
        <f>SUM(I38:K38)</f>
        <v>467692.51999999996</v>
      </c>
      <c r="M38" s="6"/>
      <c r="N38" s="26"/>
      <c r="O38" s="25"/>
    </row>
    <row r="39" spans="1:16" x14ac:dyDescent="0.2">
      <c r="A39" s="9">
        <f>SUM(A37:A38)</f>
        <v>4</v>
      </c>
      <c r="B39" s="10">
        <f>SUM(B37:B38)</f>
        <v>4</v>
      </c>
      <c r="C39" s="10">
        <f>SUM(C37:C38)</f>
        <v>4</v>
      </c>
      <c r="D39" t="s">
        <v>32</v>
      </c>
      <c r="I39" s="2">
        <f>SUM(I38:I38)</f>
        <v>412912.56</v>
      </c>
      <c r="J39" s="2">
        <f>SUM(J38:J38)</f>
        <v>34921.160000000003</v>
      </c>
      <c r="K39" s="2">
        <f>SUM(K38:K38)</f>
        <v>19858.8</v>
      </c>
      <c r="L39" s="2">
        <f>SUM(L38:L38)</f>
        <v>467692.51999999996</v>
      </c>
      <c r="M39" s="36"/>
      <c r="N39" s="26"/>
      <c r="O39" s="25"/>
    </row>
    <row r="40" spans="1:16" x14ac:dyDescent="0.2">
      <c r="A40" s="11" t="s">
        <v>33</v>
      </c>
      <c r="B40" s="8"/>
      <c r="C40" s="8"/>
      <c r="I40" s="6"/>
      <c r="J40" s="6"/>
      <c r="K40" s="6"/>
      <c r="L40" s="6"/>
      <c r="M40" s="6"/>
      <c r="N40" s="31"/>
      <c r="O40" s="31"/>
    </row>
    <row r="41" spans="1:16" x14ac:dyDescent="0.2">
      <c r="A41" s="7">
        <f t="shared" ref="A41:C47" si="1">A19</f>
        <v>23.2</v>
      </c>
      <c r="B41" s="8">
        <f t="shared" si="1"/>
        <v>11.011601000000001</v>
      </c>
      <c r="C41" s="8">
        <f t="shared" si="1"/>
        <v>12.356783999999999</v>
      </c>
      <c r="D41" t="s">
        <v>34</v>
      </c>
      <c r="I41" s="6">
        <f t="shared" ref="I41:I48" si="2">($I$10*B41)/1000</f>
        <v>1136707.0896521402</v>
      </c>
      <c r="J41" s="6">
        <f t="shared" ref="J41:J48" si="3">($J$10*C41)/1000</f>
        <v>107878.30778736</v>
      </c>
      <c r="K41" s="6">
        <f t="shared" ref="K41:K48" si="4">($K$10*A41)/1000</f>
        <v>115181.04</v>
      </c>
      <c r="L41" s="6">
        <f t="shared" ref="L41:L49" si="5">SUM(I41:K41)</f>
        <v>1359766.4374395001</v>
      </c>
      <c r="M41" s="6"/>
      <c r="N41" s="26"/>
      <c r="O41" s="25"/>
    </row>
    <row r="42" spans="1:16" x14ac:dyDescent="0.2">
      <c r="A42" s="7">
        <f t="shared" si="1"/>
        <v>6.5</v>
      </c>
      <c r="B42" s="8">
        <f t="shared" si="1"/>
        <v>3.3817680000000001</v>
      </c>
      <c r="C42" s="8">
        <f t="shared" si="1"/>
        <v>4.852887</v>
      </c>
      <c r="D42" t="s">
        <v>34</v>
      </c>
      <c r="I42" s="6">
        <f t="shared" si="2"/>
        <v>349093.62055151997</v>
      </c>
      <c r="J42" s="6">
        <f t="shared" si="3"/>
        <v>42367.110847230004</v>
      </c>
      <c r="K42" s="6">
        <f t="shared" si="4"/>
        <v>32270.55</v>
      </c>
      <c r="L42" s="6">
        <f t="shared" si="5"/>
        <v>423731.28139874997</v>
      </c>
      <c r="M42" s="6"/>
      <c r="N42" s="26"/>
      <c r="O42" s="25"/>
    </row>
    <row r="43" spans="1:16" x14ac:dyDescent="0.2">
      <c r="A43" s="7">
        <f t="shared" si="1"/>
        <v>3</v>
      </c>
      <c r="B43" s="8">
        <f t="shared" si="1"/>
        <v>1.606638</v>
      </c>
      <c r="C43" s="8">
        <f t="shared" si="1"/>
        <v>2.419737</v>
      </c>
      <c r="D43" t="s">
        <v>34</v>
      </c>
      <c r="I43" s="6">
        <f t="shared" si="2"/>
        <v>165850.25239332</v>
      </c>
      <c r="J43" s="6">
        <f t="shared" si="3"/>
        <v>21125.005733729999</v>
      </c>
      <c r="K43" s="6">
        <f t="shared" si="4"/>
        <v>14894.1</v>
      </c>
      <c r="L43" s="6">
        <f t="shared" si="5"/>
        <v>201869.35812705001</v>
      </c>
      <c r="M43" s="6"/>
      <c r="N43" s="26"/>
      <c r="O43" s="25"/>
    </row>
    <row r="44" spans="1:16" x14ac:dyDescent="0.2">
      <c r="A44" s="7">
        <f t="shared" si="1"/>
        <v>3</v>
      </c>
      <c r="B44" s="8">
        <f t="shared" si="1"/>
        <v>1.7691840000000001</v>
      </c>
      <c r="C44" s="8">
        <f t="shared" si="1"/>
        <v>2.419737</v>
      </c>
      <c r="D44" t="s">
        <v>58</v>
      </c>
      <c r="I44" s="6">
        <f t="shared" si="2"/>
        <v>182629.57363776001</v>
      </c>
      <c r="J44" s="6">
        <f t="shared" si="3"/>
        <v>21125.005733729999</v>
      </c>
      <c r="K44" s="6">
        <f t="shared" si="4"/>
        <v>14894.1</v>
      </c>
      <c r="L44" s="6">
        <f t="shared" si="5"/>
        <v>218648.67937149003</v>
      </c>
      <c r="M44" s="6"/>
      <c r="N44" s="26"/>
      <c r="O44" s="25"/>
    </row>
    <row r="45" spans="1:16" hidden="1" x14ac:dyDescent="0.2">
      <c r="A45" s="7">
        <f t="shared" si="1"/>
        <v>0</v>
      </c>
      <c r="B45" s="8">
        <f t="shared" si="1"/>
        <v>0</v>
      </c>
      <c r="C45" s="8">
        <f t="shared" si="1"/>
        <v>0</v>
      </c>
      <c r="D45" s="42" t="s">
        <v>55</v>
      </c>
      <c r="E45" s="43"/>
      <c r="F45" s="43"/>
      <c r="I45" s="6">
        <f>($I$10*B45)/1000</f>
        <v>0</v>
      </c>
      <c r="J45" s="6">
        <f>($J$10*C45)/1000</f>
        <v>0</v>
      </c>
      <c r="K45" s="6">
        <f>($K$10*A45)/1000</f>
        <v>0</v>
      </c>
      <c r="L45" s="6">
        <f t="shared" si="5"/>
        <v>0</v>
      </c>
      <c r="M45" s="6"/>
      <c r="N45" s="31"/>
      <c r="O45" s="25"/>
    </row>
    <row r="46" spans="1:16" x14ac:dyDescent="0.2">
      <c r="A46" s="7">
        <f t="shared" si="1"/>
        <v>5.3</v>
      </c>
      <c r="B46" s="8">
        <f t="shared" si="1"/>
        <v>5.3</v>
      </c>
      <c r="C46" s="8">
        <f t="shared" si="1"/>
        <v>5.3</v>
      </c>
      <c r="D46" s="47" t="s">
        <v>88</v>
      </c>
      <c r="I46" s="6">
        <f>($I$10*B46)/1000</f>
        <v>547109.14199999999</v>
      </c>
      <c r="J46" s="6">
        <f>($J$10*C46)/1000</f>
        <v>46270.536999999997</v>
      </c>
      <c r="K46" s="6">
        <f>($K$10*A46)/1000</f>
        <v>26312.91</v>
      </c>
      <c r="L46" s="6">
        <f t="shared" si="5"/>
        <v>619692.58900000004</v>
      </c>
      <c r="M46" s="6"/>
      <c r="N46" s="31"/>
      <c r="O46" s="25"/>
    </row>
    <row r="47" spans="1:16" hidden="1" x14ac:dyDescent="0.2">
      <c r="A47" s="7">
        <f t="shared" si="1"/>
        <v>0</v>
      </c>
      <c r="B47" s="8">
        <f t="shared" si="1"/>
        <v>0</v>
      </c>
      <c r="C47" s="8">
        <f t="shared" si="1"/>
        <v>0</v>
      </c>
      <c r="D47" t="s">
        <v>48</v>
      </c>
      <c r="I47" s="6">
        <f>($I$10*B47)/1000</f>
        <v>0</v>
      </c>
      <c r="J47" s="6">
        <f>($J$10*C47)/1000</f>
        <v>0</v>
      </c>
      <c r="K47" s="6">
        <f>($K$10*A47)/1000</f>
        <v>0</v>
      </c>
      <c r="L47" s="6">
        <f t="shared" si="5"/>
        <v>0</v>
      </c>
      <c r="M47" s="6"/>
      <c r="N47" s="31"/>
      <c r="O47" s="25"/>
      <c r="P47" s="29"/>
    </row>
    <row r="48" spans="1:16" x14ac:dyDescent="0.2">
      <c r="A48" s="7">
        <f t="shared" ref="A48:C49" si="6">A26</f>
        <v>3</v>
      </c>
      <c r="B48" s="8">
        <f t="shared" si="6"/>
        <v>3</v>
      </c>
      <c r="C48" s="8">
        <f t="shared" si="6"/>
        <v>3</v>
      </c>
      <c r="D48" t="s">
        <v>87</v>
      </c>
      <c r="I48" s="6">
        <f t="shared" si="2"/>
        <v>309684.42</v>
      </c>
      <c r="J48" s="6">
        <f t="shared" si="3"/>
        <v>26190.87</v>
      </c>
      <c r="K48" s="6">
        <f t="shared" si="4"/>
        <v>14894.1</v>
      </c>
      <c r="L48" s="6">
        <f t="shared" si="5"/>
        <v>350769.38999999996</v>
      </c>
      <c r="M48" s="6"/>
      <c r="N48" s="31"/>
      <c r="O48" s="25"/>
      <c r="P48" s="29"/>
    </row>
    <row r="49" spans="1:17" x14ac:dyDescent="0.2">
      <c r="A49" s="7">
        <f t="shared" si="6"/>
        <v>0.5</v>
      </c>
      <c r="B49" s="8">
        <f t="shared" si="6"/>
        <v>0.29707099999999997</v>
      </c>
      <c r="C49" s="8">
        <f t="shared" si="6"/>
        <v>0.40328900000000001</v>
      </c>
      <c r="D49" s="47" t="s">
        <v>58</v>
      </c>
      <c r="I49" s="6">
        <f>($I$10*B49)/1000</f>
        <v>30666.086777939996</v>
      </c>
      <c r="J49" s="6">
        <f>($J$10*C49)/1000</f>
        <v>3520.8299238099999</v>
      </c>
      <c r="K49" s="6">
        <f>($K$10*A49)/1000</f>
        <v>2482.35</v>
      </c>
      <c r="L49" s="6">
        <f t="shared" si="5"/>
        <v>36669.266701749992</v>
      </c>
      <c r="M49" s="6"/>
      <c r="N49" s="31"/>
      <c r="O49" s="25"/>
      <c r="P49" s="29"/>
    </row>
    <row r="50" spans="1:17" x14ac:dyDescent="0.2">
      <c r="A50" s="9">
        <f>SUM(A41:A49)</f>
        <v>44.5</v>
      </c>
      <c r="B50" s="10">
        <f>SUM(B41:B49)</f>
        <v>26.366261999999999</v>
      </c>
      <c r="C50" s="10">
        <f>SUM(C41:C49)</f>
        <v>30.752434000000004</v>
      </c>
      <c r="D50" t="s">
        <v>38</v>
      </c>
      <c r="I50" s="2">
        <f>SUM(I41:I48)</f>
        <v>2691074.0982347401</v>
      </c>
      <c r="J50" s="2">
        <f>SUM(J41:J48)</f>
        <v>264956.83710205002</v>
      </c>
      <c r="K50" s="2">
        <f>SUM(K41:K48)</f>
        <v>218446.80000000002</v>
      </c>
      <c r="L50" s="2">
        <f>SUM(L41:L49)</f>
        <v>3211147.0020385403</v>
      </c>
      <c r="M50" s="36"/>
      <c r="N50" s="26"/>
      <c r="O50" s="25"/>
    </row>
    <row r="51" spans="1:17" ht="15.75" thickBot="1" x14ac:dyDescent="0.25">
      <c r="A51" s="7"/>
      <c r="B51" s="8"/>
      <c r="C51" s="8"/>
      <c r="I51" s="6"/>
      <c r="J51" s="6"/>
      <c r="K51" s="6"/>
      <c r="L51" s="6"/>
      <c r="M51" s="6"/>
      <c r="N51" s="31"/>
      <c r="O51" s="31"/>
    </row>
    <row r="52" spans="1:17" ht="16.5" thickTop="1" x14ac:dyDescent="0.25">
      <c r="A52" s="71">
        <f>(+A39+A50)</f>
        <v>48.5</v>
      </c>
      <c r="B52" s="72">
        <f>(+B39+B50)</f>
        <v>30.366261999999999</v>
      </c>
      <c r="C52" s="72">
        <f>(+C39+C50)</f>
        <v>34.752434000000008</v>
      </c>
      <c r="D52" t="s">
        <v>45</v>
      </c>
      <c r="I52" s="12">
        <f>(+I39+I50)</f>
        <v>3103986.6582347401</v>
      </c>
      <c r="J52" s="12">
        <f>(+J39+J50)</f>
        <v>299877.99710204999</v>
      </c>
      <c r="K52" s="12">
        <f>(+K39+K50)</f>
        <v>238305.6</v>
      </c>
      <c r="L52" s="12">
        <f>(+L39+L50)</f>
        <v>3678839.5220385403</v>
      </c>
      <c r="M52" s="36"/>
      <c r="N52" s="36"/>
      <c r="O52" s="36"/>
    </row>
    <row r="53" spans="1:17" x14ac:dyDescent="0.2">
      <c r="I53" s="6"/>
      <c r="J53" s="6"/>
      <c r="K53" s="6"/>
      <c r="L53" s="6"/>
      <c r="M53" s="6"/>
    </row>
    <row r="54" spans="1:17" x14ac:dyDescent="0.2">
      <c r="F54" s="37"/>
      <c r="G54" s="37"/>
      <c r="H54" s="55"/>
      <c r="I54" s="69"/>
      <c r="J54" s="56"/>
      <c r="K54" s="53"/>
      <c r="L54" s="53"/>
      <c r="M54" s="53"/>
      <c r="N54" s="53"/>
      <c r="O54" s="53"/>
      <c r="P54" s="67"/>
      <c r="Q54" s="68"/>
    </row>
    <row r="55" spans="1:17" ht="15.75" x14ac:dyDescent="0.25">
      <c r="D55" s="24" t="s">
        <v>95</v>
      </c>
      <c r="F55" s="38"/>
      <c r="G55" s="38"/>
      <c r="H55" s="57"/>
      <c r="I55" s="70"/>
      <c r="J55" s="59"/>
      <c r="K55" s="60"/>
      <c r="L55" s="60"/>
      <c r="M55" s="60"/>
      <c r="N55" s="64"/>
      <c r="O55" s="64"/>
      <c r="P55" s="62"/>
      <c r="Q55" s="62"/>
    </row>
    <row r="56" spans="1:17" x14ac:dyDescent="0.2">
      <c r="F56" s="38"/>
      <c r="G56" s="38"/>
      <c r="H56" s="57"/>
      <c r="I56" s="58"/>
      <c r="J56" s="59"/>
      <c r="K56" s="60"/>
      <c r="L56" s="60"/>
      <c r="M56" s="60"/>
      <c r="N56" s="62"/>
      <c r="O56" s="62"/>
      <c r="P56" s="62"/>
      <c r="Q56" s="62"/>
    </row>
    <row r="57" spans="1:17" x14ac:dyDescent="0.2">
      <c r="F57" s="38"/>
      <c r="G57" s="38"/>
      <c r="H57" s="57"/>
      <c r="I57" s="58"/>
      <c r="J57" s="59"/>
      <c r="K57" s="60"/>
      <c r="L57" s="60"/>
      <c r="M57" s="60"/>
      <c r="N57" s="62"/>
      <c r="O57" s="62"/>
      <c r="P57" s="62"/>
      <c r="Q57" s="62"/>
    </row>
    <row r="58" spans="1:17" x14ac:dyDescent="0.2">
      <c r="F58" s="38"/>
      <c r="G58" s="38"/>
      <c r="H58" s="57"/>
      <c r="I58" s="58"/>
      <c r="J58" s="59"/>
      <c r="K58" s="60"/>
      <c r="L58" s="60"/>
      <c r="M58" s="60"/>
      <c r="N58" s="64"/>
      <c r="O58" s="64"/>
      <c r="P58" s="62"/>
      <c r="Q58" s="62"/>
    </row>
    <row r="59" spans="1:17" x14ac:dyDescent="0.2">
      <c r="F59" s="38"/>
      <c r="G59" s="38"/>
      <c r="H59" s="57"/>
      <c r="I59" s="58"/>
      <c r="J59" s="59"/>
      <c r="K59" s="60"/>
      <c r="L59" s="60"/>
      <c r="M59" s="60"/>
      <c r="N59" s="64"/>
      <c r="O59" s="64"/>
      <c r="P59" s="62"/>
      <c r="Q59" s="62"/>
    </row>
    <row r="60" spans="1:17" x14ac:dyDescent="0.2">
      <c r="F60" s="38"/>
      <c r="G60" s="38"/>
      <c r="H60" s="57"/>
      <c r="I60" s="58"/>
      <c r="J60" s="59"/>
      <c r="K60" s="60"/>
      <c r="L60" s="60"/>
      <c r="M60" s="60"/>
      <c r="N60" s="64"/>
      <c r="O60" s="64"/>
      <c r="P60" s="62"/>
      <c r="Q60" s="62"/>
    </row>
    <row r="61" spans="1:17" x14ac:dyDescent="0.2">
      <c r="F61" s="38"/>
      <c r="G61" s="38"/>
      <c r="H61" s="57"/>
      <c r="I61" s="58"/>
      <c r="J61" s="59"/>
      <c r="K61" s="60"/>
      <c r="L61" s="60"/>
      <c r="M61" s="60"/>
      <c r="N61" s="64"/>
      <c r="O61" s="64"/>
      <c r="P61" s="62"/>
      <c r="Q61" s="62"/>
    </row>
    <row r="62" spans="1:17" x14ac:dyDescent="0.2">
      <c r="F62" s="27"/>
      <c r="G62" s="27"/>
      <c r="H62" s="61"/>
      <c r="I62" s="63"/>
      <c r="J62" s="63"/>
      <c r="K62" s="61"/>
      <c r="L62" s="64"/>
      <c r="M62" s="64"/>
      <c r="N62" s="64"/>
      <c r="O62" s="64"/>
      <c r="P62" s="54"/>
      <c r="Q62" s="54"/>
    </row>
    <row r="63" spans="1:17" x14ac:dyDescent="0.2">
      <c r="H63" s="54"/>
      <c r="I63" s="54"/>
      <c r="J63" s="54"/>
      <c r="K63" s="54"/>
      <c r="L63" s="66"/>
      <c r="M63" s="66"/>
      <c r="N63" s="66"/>
      <c r="O63" s="66"/>
      <c r="P63" s="54"/>
      <c r="Q63" s="54"/>
    </row>
    <row r="64" spans="1:17" x14ac:dyDescent="0.2">
      <c r="H64" s="54"/>
      <c r="I64" s="65"/>
      <c r="J64" s="54"/>
      <c r="K64" s="54"/>
      <c r="L64" s="66"/>
      <c r="M64" s="66"/>
      <c r="N64" s="62"/>
      <c r="O64" s="62"/>
      <c r="P64" s="54"/>
      <c r="Q64" s="54"/>
    </row>
    <row r="65" spans="8:17" x14ac:dyDescent="0.2"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7" spans="8:17" x14ac:dyDescent="0.2">
      <c r="I67" s="31"/>
    </row>
    <row r="68" spans="8:17" x14ac:dyDescent="0.2">
      <c r="I68" s="31"/>
    </row>
    <row r="69" spans="8:17" x14ac:dyDescent="0.2">
      <c r="I69" s="31"/>
    </row>
    <row r="70" spans="8:17" ht="15.75" x14ac:dyDescent="0.25">
      <c r="I70" s="32"/>
    </row>
  </sheetData>
  <mergeCells count="1">
    <mergeCell ref="K2:N3"/>
  </mergeCells>
  <pageMargins left="0.7" right="0.7" top="0.75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BSC LSD</vt:lpstr>
      <vt:lpstr>Danbury LSD</vt:lpstr>
      <vt:lpstr>Genoa LSD</vt:lpstr>
      <vt:lpstr>Lake LSD</vt:lpstr>
      <vt:lpstr>MBS LSD</vt:lpstr>
      <vt:lpstr>N Bass LSD</vt:lpstr>
      <vt:lpstr>PC CSD</vt:lpstr>
      <vt:lpstr>PIB LSD</vt:lpstr>
      <vt:lpstr>Woodmore LSD</vt:lpstr>
      <vt:lpstr>Penta JVS</vt:lpstr>
      <vt:lpstr>Vanguard JVS</vt:lpstr>
      <vt:lpstr>New Construction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Rogers</dc:creator>
  <cp:lastModifiedBy>Jennifer Widmer</cp:lastModifiedBy>
  <cp:lastPrinted>2024-12-02T16:49:26Z</cp:lastPrinted>
  <dcterms:created xsi:type="dcterms:W3CDTF">2001-02-25T17:06:38Z</dcterms:created>
  <dcterms:modified xsi:type="dcterms:W3CDTF">2025-01-14T19:48:37Z</dcterms:modified>
</cp:coreProperties>
</file>